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2019\TheOffice\231_ssiga set\W4 update\W4 update\"/>
    </mc:Choice>
  </mc:AlternateContent>
  <xr:revisionPtr revIDLastSave="0" documentId="13_ncr:1_{7AC07F1C-472C-43E5-B551-CE3A9A25458B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Procedimento normale" sheetId="4" r:id="rId1"/>
  </sheets>
  <definedNames>
    <definedName name="_xlnm.Print_Area" localSheetId="0">'Procedimento normale'!$B$3:$AV$63</definedName>
    <definedName name="Diamètre_conduite_en_mètre">#REF!</definedName>
    <definedName name="Longueur_conduite">#REF!</definedName>
    <definedName name="Rayon_conduite">#REF!</definedName>
    <definedName name="Volume_condui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2" i="4" l="1"/>
  <c r="M46" i="4"/>
  <c r="AR45" i="4"/>
  <c r="BT40" i="4"/>
  <c r="BT39" i="4"/>
  <c r="BT38" i="4"/>
  <c r="BT37" i="4"/>
  <c r="BT36" i="4"/>
  <c r="BT35" i="4"/>
  <c r="T35" i="4"/>
  <c r="T38" i="4" s="1"/>
  <c r="BT34" i="4"/>
  <c r="BT33" i="4"/>
  <c r="BT32" i="4"/>
  <c r="BZ31" i="4"/>
  <c r="BT31" i="4"/>
  <c r="BZ30" i="4"/>
  <c r="BT30" i="4"/>
  <c r="BZ29" i="4"/>
  <c r="BX29" i="4"/>
  <c r="BT29" i="4"/>
  <c r="BZ28" i="4"/>
  <c r="BX28" i="4"/>
  <c r="BT28" i="4"/>
  <c r="BZ27" i="4"/>
  <c r="BX27" i="4"/>
  <c r="BT27" i="4"/>
  <c r="BZ26" i="4"/>
  <c r="BX26" i="4"/>
  <c r="BT26" i="4"/>
  <c r="BZ25" i="4"/>
  <c r="BX25" i="4"/>
  <c r="BZ24" i="4"/>
  <c r="BX24" i="4"/>
  <c r="AM24" i="4"/>
  <c r="BZ23" i="4"/>
  <c r="BX23" i="4"/>
  <c r="BZ22" i="4"/>
  <c r="BX22" i="4"/>
  <c r="BZ21" i="4"/>
  <c r="BX21" i="4"/>
  <c r="BZ20" i="4"/>
  <c r="BX20" i="4"/>
  <c r="BZ19" i="4"/>
  <c r="BX19" i="4"/>
  <c r="BZ18" i="4"/>
  <c r="BZ17" i="4"/>
  <c r="BZ16" i="4"/>
  <c r="BZ15" i="4"/>
  <c r="BZ14" i="4"/>
  <c r="BZ13" i="4"/>
  <c r="BL10" i="4"/>
  <c r="BD9" i="4"/>
  <c r="BK36" i="4" s="1"/>
  <c r="BI6" i="4"/>
  <c r="BJ36" i="4" s="1"/>
  <c r="BK19" i="4" l="1"/>
  <c r="BK11" i="4"/>
  <c r="BK15" i="4"/>
  <c r="BK17" i="4"/>
  <c r="BK38" i="4"/>
  <c r="BK40" i="4"/>
  <c r="BK20" i="4"/>
  <c r="BK31" i="4"/>
  <c r="BK33" i="4"/>
  <c r="BK35" i="4"/>
  <c r="AM20" i="4"/>
  <c r="AM23" i="4"/>
  <c r="BK24" i="4"/>
  <c r="BK37" i="4"/>
  <c r="BK39" i="4"/>
  <c r="BK16" i="4"/>
  <c r="BK12" i="4"/>
  <c r="BK25" i="4"/>
  <c r="BK29" i="4"/>
  <c r="T36" i="4"/>
  <c r="T37" i="4" s="1"/>
  <c r="N42" i="4" s="1"/>
  <c r="V39" i="4" s="1"/>
  <c r="BK13" i="4"/>
  <c r="BK22" i="4"/>
  <c r="BK27" i="4"/>
  <c r="BK32" i="4"/>
  <c r="BK34" i="4"/>
  <c r="BL36" i="4"/>
  <c r="BJ13" i="4"/>
  <c r="BJ17" i="4"/>
  <c r="BL17" i="4" s="1"/>
  <c r="BJ39" i="4"/>
  <c r="BJ14" i="4"/>
  <c r="BJ12" i="4"/>
  <c r="BJ24" i="4"/>
  <c r="BJ18" i="4"/>
  <c r="BJ11" i="4"/>
  <c r="BJ20" i="4"/>
  <c r="BL20" i="4" s="1"/>
  <c r="BJ35" i="4"/>
  <c r="BJ40" i="4"/>
  <c r="BJ16" i="4"/>
  <c r="BJ22" i="4"/>
  <c r="BJ25" i="4"/>
  <c r="BJ27" i="4"/>
  <c r="BJ29" i="4"/>
  <c r="BJ32" i="4"/>
  <c r="BJ33" i="4"/>
  <c r="BJ34" i="4"/>
  <c r="BL34" i="4" s="1"/>
  <c r="BJ38" i="4"/>
  <c r="BK14" i="4"/>
  <c r="BJ15" i="4"/>
  <c r="BK18" i="4"/>
  <c r="BJ19" i="4"/>
  <c r="BK21" i="4"/>
  <c r="BK23" i="4"/>
  <c r="BK26" i="4"/>
  <c r="BK28" i="4"/>
  <c r="BK30" i="4"/>
  <c r="BJ31" i="4"/>
  <c r="BL31" i="4" s="1"/>
  <c r="BJ37" i="4"/>
  <c r="BJ21" i="4"/>
  <c r="BJ23" i="4"/>
  <c r="BJ26" i="4"/>
  <c r="BJ28" i="4"/>
  <c r="BJ30" i="4"/>
  <c r="BL32" i="4" l="1"/>
  <c r="BL28" i="4"/>
  <c r="BL37" i="4"/>
  <c r="BL40" i="4"/>
  <c r="BL27" i="4"/>
  <c r="BL39" i="4"/>
  <c r="BL29" i="4"/>
  <c r="BL16" i="4"/>
  <c r="BL19" i="4"/>
  <c r="BL38" i="4"/>
  <c r="BL12" i="4"/>
  <c r="BL13" i="4"/>
  <c r="BL26" i="4"/>
  <c r="BL15" i="4"/>
  <c r="BL33" i="4"/>
  <c r="BL25" i="4"/>
  <c r="BL35" i="4"/>
  <c r="BL24" i="4"/>
  <c r="BT11" i="4"/>
  <c r="BT12" i="4"/>
  <c r="BT23" i="4"/>
  <c r="BT25" i="4"/>
  <c r="BT16" i="4"/>
  <c r="BT14" i="4"/>
  <c r="BT24" i="4"/>
  <c r="BT15" i="4"/>
  <c r="BT13" i="4"/>
  <c r="AM43" i="4"/>
  <c r="BL22" i="4"/>
  <c r="BL18" i="4"/>
  <c r="BL30" i="4"/>
  <c r="BL21" i="4"/>
  <c r="BL23" i="4"/>
  <c r="BL11" i="4"/>
  <c r="BL14" i="4"/>
  <c r="AM22" i="4" l="1"/>
  <c r="P48" i="4"/>
  <c r="Z42" i="4"/>
  <c r="H49" i="4"/>
  <c r="AM25" i="4"/>
  <c r="Q51" i="4"/>
  <c r="P44" i="4"/>
  <c r="AH45" i="4" s="1"/>
  <c r="AM44" i="4" l="1"/>
  <c r="AM19" i="4" s="1"/>
  <c r="AM18" i="4" s="1"/>
  <c r="AD4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Hans_Brunner</author>
  </authors>
  <commentList>
    <comment ref="Z18" authorId="0" shapeId="0" xr:uid="{00000000-0006-0000-0000-000001000000}">
      <text>
        <r>
          <rPr>
            <sz val="9"/>
            <color indexed="81"/>
            <rFont val="Tahoma"/>
            <family val="2"/>
          </rPr>
          <t>Calcolo automatico per GGG K9, PE 80 e PE 100. Per gli altri materiali compilare le stesse celle.</t>
        </r>
      </text>
    </comment>
  </commentList>
</comments>
</file>

<file path=xl/sharedStrings.xml><?xml version="1.0" encoding="utf-8"?>
<sst xmlns="http://schemas.openxmlformats.org/spreadsheetml/2006/main" count="244" uniqueCount="244">
  <si>
    <t>f</t>
  </si>
  <si>
    <t>PE 100</t>
  </si>
  <si>
    <t>SDR 17 (S8) PN10</t>
  </si>
  <si>
    <t>SDR 11 (S5) PN16</t>
  </si>
  <si>
    <r>
      <rPr>
        <b/>
        <sz val="10"/>
        <rFont val="Arial"/>
        <family val="2"/>
      </rPr>
      <t>SITUAZIONE</t>
    </r>
  </si>
  <si>
    <r>
      <rPr>
        <sz val="10"/>
        <rFont val="Arial"/>
        <family val="2"/>
      </rPr>
      <t>≤400</t>
    </r>
  </si>
  <si>
    <t>DN</t>
  </si>
  <si>
    <t>e</t>
  </si>
  <si>
    <t>DI</t>
  </si>
  <si>
    <t>PUR</t>
  </si>
  <si>
    <r>
      <rPr>
        <sz val="10"/>
        <rFont val="Arial"/>
        <family val="2"/>
      </rPr>
      <t>&gt;700</t>
    </r>
  </si>
  <si>
    <t>Indirizzo:</t>
  </si>
  <si>
    <t>° C</t>
  </si>
  <si>
    <t>PE 80 S5</t>
  </si>
  <si>
    <r>
      <rPr>
        <sz val="10"/>
        <rFont val="Arial"/>
        <family val="2"/>
      </rPr>
      <t>ml</t>
    </r>
  </si>
  <si>
    <t>PE 80 S8</t>
  </si>
  <si>
    <r>
      <rPr>
        <sz val="10"/>
        <color indexed="10"/>
        <rFont val="Arial"/>
        <family val="2"/>
      </rPr>
      <t>*)</t>
    </r>
  </si>
  <si>
    <t>bar</t>
  </si>
  <si>
    <r>
      <rPr>
        <sz val="10"/>
        <rFont val="Arial"/>
        <family val="2"/>
      </rPr>
      <t>PE 100 S5</t>
    </r>
  </si>
  <si>
    <t>ID</t>
  </si>
  <si>
    <t>mm</t>
  </si>
  <si>
    <r>
      <rPr>
        <sz val="10"/>
        <rFont val="Arial"/>
        <family val="2"/>
      </rPr>
      <t>PE 100 S8</t>
    </r>
  </si>
  <si>
    <t>N/mm2</t>
  </si>
  <si>
    <r>
      <rPr>
        <sz val="10"/>
        <rFont val="Arial"/>
        <family val="2"/>
      </rPr>
      <t>PE</t>
    </r>
  </si>
  <si>
    <r>
      <rPr>
        <sz val="10"/>
        <rFont val="Arial"/>
        <family val="2"/>
      </rPr>
      <t>L</t>
    </r>
  </si>
  <si>
    <r>
      <rPr>
        <sz val="10"/>
        <rFont val="Arial"/>
        <family val="2"/>
      </rPr>
      <t>-</t>
    </r>
  </si>
  <si>
    <t>&lt;200</t>
  </si>
  <si>
    <r>
      <rPr>
        <sz val="10"/>
        <rFont val="Arial"/>
        <family val="2"/>
      </rPr>
      <t>&gt;400</t>
    </r>
  </si>
  <si>
    <r>
      <rPr>
        <sz val="10"/>
        <rFont val="Arial"/>
        <family val="2"/>
      </rPr>
      <t>Er =</t>
    </r>
  </si>
  <si>
    <r>
      <rPr>
        <sz val="10"/>
        <rFont val="Arial"/>
        <family val="2"/>
      </rPr>
      <t>N</t>
    </r>
  </si>
  <si>
    <r>
      <rPr>
        <sz val="10"/>
        <rFont val="Arial"/>
        <family val="2"/>
      </rPr>
      <t>h</t>
    </r>
  </si>
  <si>
    <r>
      <rPr>
        <sz val="10"/>
        <rFont val="Arial"/>
        <family val="2"/>
      </rPr>
      <t>P1</t>
    </r>
  </si>
  <si>
    <r>
      <rPr>
        <sz val="10"/>
        <rFont val="Arial"/>
        <family val="2"/>
      </rPr>
      <t>P2</t>
    </r>
  </si>
  <si>
    <r>
      <rPr>
        <b/>
        <sz val="10"/>
        <rFont val="Arial"/>
        <family val="2"/>
      </rPr>
      <t>/</t>
    </r>
  </si>
  <si>
    <r>
      <rPr>
        <b/>
        <sz val="10"/>
        <rFont val="Arial"/>
        <family val="2"/>
      </rPr>
      <t>x</t>
    </r>
  </si>
  <si>
    <r>
      <rPr>
        <b/>
        <sz val="10"/>
        <rFont val="Arial"/>
        <family val="2"/>
      </rPr>
      <t>(P1 - P2)</t>
    </r>
  </si>
  <si>
    <r>
      <rPr>
        <b/>
        <sz val="10"/>
        <rFont val="Arial"/>
        <family val="2"/>
      </rPr>
      <t>mano</t>
    </r>
  </si>
  <si>
    <r>
      <rPr>
        <sz val="10"/>
        <rFont val="Arial"/>
        <family val="2"/>
      </rPr>
      <t>=</t>
    </r>
  </si>
  <si>
    <t>Rivestimento interno</t>
  </si>
  <si>
    <r>
      <rPr>
        <sz val="10"/>
        <rFont val="Arial"/>
        <family val="2"/>
      </rPr>
      <t>Rivestimento esterno</t>
    </r>
  </si>
  <si>
    <t>Materiale</t>
  </si>
  <si>
    <t>Ghisa duttile K9 ECOPUR</t>
  </si>
  <si>
    <t>Malta cementizia</t>
  </si>
  <si>
    <r>
      <rPr>
        <sz val="10"/>
        <rFont val="Arial"/>
        <family val="2"/>
      </rPr>
      <t>Nessuno</t>
    </r>
  </si>
  <si>
    <r>
      <rPr>
        <sz val="10"/>
        <rFont val="Arial"/>
        <family val="2"/>
      </rPr>
      <t>PE + Cemento</t>
    </r>
  </si>
  <si>
    <t>Zona di pressione :</t>
  </si>
  <si>
    <t>N° piano:</t>
  </si>
  <si>
    <t>Tratto di prova da :</t>
  </si>
  <si>
    <t>a</t>
  </si>
  <si>
    <t>Tempo:</t>
  </si>
  <si>
    <t>Temperatura:</t>
  </si>
  <si>
    <r>
      <rPr>
        <b/>
        <sz val="10"/>
        <rFont val="Arial"/>
        <family val="2"/>
      </rPr>
      <t>TUBAZIONE E VALVOLE</t>
    </r>
  </si>
  <si>
    <r>
      <rPr>
        <sz val="10"/>
        <color indexed="10"/>
        <rFont val="Arial"/>
        <family val="2"/>
      </rPr>
      <t>* : obbligatorio per il calcolo del volume max.</t>
    </r>
  </si>
  <si>
    <t>Materiale:</t>
  </si>
  <si>
    <t>Costruttore tubo:</t>
  </si>
  <si>
    <t>Diametro (DN) :</t>
  </si>
  <si>
    <t>m</t>
  </si>
  <si>
    <r>
      <t>E</t>
    </r>
    <r>
      <rPr>
        <vertAlign val="subscript"/>
        <sz val="10"/>
        <rFont val="Arial"/>
        <family val="2"/>
      </rPr>
      <t>R</t>
    </r>
  </si>
  <si>
    <r>
      <t>K</t>
    </r>
    <r>
      <rPr>
        <vertAlign val="subscript"/>
        <sz val="10"/>
        <rFont val="Arial"/>
        <family val="2"/>
      </rPr>
      <t>w</t>
    </r>
  </si>
  <si>
    <t>s</t>
  </si>
  <si>
    <t>Modulo di compressione acqua</t>
  </si>
  <si>
    <t>Diametro interno tubo senza rivest.</t>
  </si>
  <si>
    <r>
      <rPr>
        <b/>
        <sz val="10"/>
        <rFont val="Arial"/>
        <family val="2"/>
      </rPr>
      <t>Osservazioni:</t>
    </r>
  </si>
  <si>
    <r>
      <rPr>
        <sz val="10"/>
        <rFont val="Arial"/>
        <family val="2"/>
      </rPr>
      <t>sole</t>
    </r>
  </si>
  <si>
    <r>
      <rPr>
        <sz val="10"/>
        <rFont val="Arial"/>
        <family val="2"/>
      </rPr>
      <t>nuvoloso</t>
    </r>
  </si>
  <si>
    <r>
      <rPr>
        <sz val="10"/>
        <rFont val="Arial"/>
        <family val="2"/>
      </rPr>
      <t>coperto</t>
    </r>
  </si>
  <si>
    <r>
      <rPr>
        <sz val="10"/>
        <rFont val="Arial"/>
        <family val="2"/>
      </rPr>
      <t>pioggia</t>
    </r>
  </si>
  <si>
    <r>
      <rPr>
        <sz val="10"/>
        <rFont val="Arial"/>
        <family val="2"/>
      </rPr>
      <t>neve</t>
    </r>
  </si>
  <si>
    <r>
      <rPr>
        <i/>
        <sz val="10"/>
        <rFont val="Arial"/>
        <family val="2"/>
      </rPr>
      <t>Rimuovere completamente l’aria dal tratto di prova</t>
    </r>
  </si>
  <si>
    <r>
      <rPr>
        <i/>
        <sz val="10"/>
        <rFont val="Arial"/>
        <family val="2"/>
      </rPr>
      <t>Se possibile posizionare il manometro nel punto più basso</t>
    </r>
  </si>
  <si>
    <t>Numero valvole chiuse</t>
  </si>
  <si>
    <t>(Pressione din. della rete)</t>
  </si>
  <si>
    <r>
      <rPr>
        <sz val="10"/>
        <rFont val="Arial"/>
        <family val="2"/>
      </rPr>
      <t xml:space="preserve">Pressione di progetto massima (MDP </t>
    </r>
    <r>
      <rPr>
        <vertAlign val="subscript"/>
        <sz val="10"/>
        <rFont val="Arial"/>
        <family val="2"/>
      </rPr>
      <t>a o c</t>
    </r>
    <r>
      <rPr>
        <sz val="10"/>
        <rFont val="Arial"/>
        <family val="2"/>
      </rPr>
      <t>) :</t>
    </r>
  </si>
  <si>
    <r>
      <rPr>
        <sz val="10"/>
        <rFont val="Arial"/>
        <family val="2"/>
      </rPr>
      <t>Pressione di collaudo di rete (STP) :</t>
    </r>
  </si>
  <si>
    <r>
      <rPr>
        <sz val="10"/>
        <rFont val="Arial"/>
        <family val="2"/>
      </rPr>
      <t>Pressione nel punto più alto (1.1 * MDP) :</t>
    </r>
  </si>
  <si>
    <r>
      <rPr>
        <sz val="10"/>
        <rFont val="Arial"/>
        <family val="2"/>
      </rPr>
      <t>Acciaio, calcestruzzo interno + esterno</t>
    </r>
  </si>
  <si>
    <r>
      <rPr>
        <sz val="10"/>
        <rFont val="Arial"/>
        <family val="2"/>
      </rPr>
      <t>Saldato</t>
    </r>
  </si>
  <si>
    <r>
      <rPr>
        <sz val="10"/>
        <rFont val="Arial"/>
        <family val="2"/>
      </rPr>
      <t>Altro</t>
    </r>
  </si>
  <si>
    <r>
      <rPr>
        <b/>
        <sz val="10"/>
        <rFont val="Arial"/>
        <family val="2"/>
      </rPr>
      <t>PROVA PRELIMINARE E PROVA DEL CALO DI PRESSIONE</t>
    </r>
  </si>
  <si>
    <r>
      <rPr>
        <b/>
        <sz val="10"/>
        <rFont val="Arial"/>
        <family val="2"/>
      </rPr>
      <t>PROVA PRINCIPALE</t>
    </r>
  </si>
  <si>
    <r>
      <rPr>
        <sz val="10"/>
        <rFont val="Arial"/>
        <family val="2"/>
      </rPr>
      <t>Prova del calo di pressione</t>
    </r>
  </si>
  <si>
    <r>
      <rPr>
        <sz val="10"/>
        <rFont val="Arial Narrow"/>
        <family val="2"/>
      </rPr>
      <t>Pressione</t>
    </r>
  </si>
  <si>
    <t>Colpo di ariete fissato a corpo</t>
  </si>
  <si>
    <r>
      <rPr>
        <sz val="10"/>
        <rFont val="Arial"/>
        <family val="2"/>
      </rPr>
      <t>Saldatura testa a testa</t>
    </r>
  </si>
  <si>
    <r>
      <rPr>
        <sz val="10"/>
        <rFont val="Arial"/>
        <family val="2"/>
      </rPr>
      <t>Elettromanicotto per saldatura</t>
    </r>
  </si>
  <si>
    <r>
      <rPr>
        <b/>
        <sz val="10"/>
        <rFont val="Arial"/>
        <family val="2"/>
      </rPr>
      <t>Diametro</t>
    </r>
  </si>
  <si>
    <r>
      <rPr>
        <sz val="10"/>
        <rFont val="Arial"/>
        <family val="2"/>
      </rPr>
      <t>Prova di tenuta conformemente alla direttiva SSIGA W4, metodo della perdita di pressione</t>
    </r>
  </si>
  <si>
    <t>Data prova di tenuta:</t>
  </si>
  <si>
    <r>
      <rPr>
        <sz val="10"/>
        <rFont val="Arial"/>
        <family val="2"/>
      </rPr>
      <t>Responsabile:</t>
    </r>
  </si>
  <si>
    <t>Riduzione della pressione amm.</t>
  </si>
  <si>
    <r>
      <rPr>
        <b/>
        <sz val="10"/>
        <rFont val="Arial"/>
        <family val="2"/>
      </rPr>
      <t>Valori per procedimento normale con metodo della perdita d’acqua</t>
    </r>
  </si>
  <si>
    <r>
      <rPr>
        <b/>
        <sz val="10"/>
        <rFont val="Arial"/>
        <family val="2"/>
      </rPr>
      <t>PREPARAZIONE DELLA PROVA</t>
    </r>
  </si>
  <si>
    <r>
      <rPr>
        <i/>
        <sz val="10"/>
        <rFont val="Arial"/>
        <family val="2"/>
      </rPr>
      <t>Evitare la prova di tenuta su valvole chiuse</t>
    </r>
  </si>
  <si>
    <r>
      <rPr>
        <i/>
        <sz val="10"/>
        <rFont val="Arial"/>
        <family val="2"/>
      </rPr>
      <t>Assicurarsi che il tratto di prova sia fissato (antisfilamento, spalla ecc.)</t>
    </r>
  </si>
  <si>
    <r>
      <rPr>
        <sz val="10"/>
        <rFont val="Arial"/>
        <family val="2"/>
      </rPr>
      <t>(Evitare le prove su valvole chiuse)</t>
    </r>
  </si>
  <si>
    <t>Se il colpo di ariete è stato calcolato, valore :</t>
  </si>
  <si>
    <t>Pressione di progetto (DP)</t>
  </si>
  <si>
    <r>
      <rPr>
        <sz val="10"/>
        <rFont val="Arial"/>
        <family val="2"/>
      </rPr>
      <t>STP limitata (con valvole chiuse, max. 16 bar) :</t>
    </r>
  </si>
  <si>
    <r>
      <rPr>
        <sz val="10"/>
        <rFont val="Arial"/>
        <family val="2"/>
      </rPr>
      <t>Forza esercitata su una flangia cieca :</t>
    </r>
  </si>
  <si>
    <r>
      <rPr>
        <sz val="10"/>
        <rFont val="Arial"/>
        <family val="2"/>
      </rPr>
      <t xml:space="preserve">Far salire la pressione a STP = </t>
    </r>
  </si>
  <si>
    <t>e tenerla per</t>
  </si>
  <si>
    <r>
      <rPr>
        <sz val="10"/>
        <rFont val="Arial Narrow"/>
        <family val="2"/>
      </rPr>
      <t>Tempo</t>
    </r>
  </si>
  <si>
    <r>
      <rPr>
        <sz val="10"/>
        <rFont val="Arial Narrow"/>
        <family val="2"/>
      </rPr>
      <t>Manometro</t>
    </r>
  </si>
  <si>
    <r>
      <rPr>
        <b/>
        <sz val="10"/>
        <rFont val="Arial"/>
        <family val="2"/>
      </rPr>
      <t>ore</t>
    </r>
  </si>
  <si>
    <r>
      <rPr>
        <sz val="10"/>
        <rFont val="Arial"/>
        <family val="2"/>
      </rPr>
      <t>Eseguire la prova del calo di pressione dopo min. 1 ora</t>
    </r>
  </si>
  <si>
    <r>
      <rPr>
        <sz val="10"/>
        <rFont val="Arial"/>
        <family val="2"/>
      </rPr>
      <t>Pressione prima del prelievo di acqua</t>
    </r>
  </si>
  <si>
    <r>
      <rPr>
        <sz val="10"/>
        <rFont val="Arial"/>
        <family val="2"/>
      </rPr>
      <t>Pressione dopo il prelievo di acqua</t>
    </r>
  </si>
  <si>
    <r>
      <t>Abbassare la pressione di Δp</t>
    </r>
    <r>
      <rPr>
        <vertAlign val="subscript"/>
        <sz val="10"/>
        <rFont val="Arial"/>
        <family val="2"/>
      </rPr>
      <t>g</t>
    </r>
    <r>
      <rPr>
        <sz val="10"/>
        <rFont val="Arial"/>
        <family val="2"/>
      </rPr>
      <t xml:space="preserve"> = </t>
    </r>
  </si>
  <si>
    <r>
      <rPr>
        <b/>
        <sz val="10"/>
        <rFont val="Arial"/>
        <family val="2"/>
      </rPr>
      <t>Destinatari</t>
    </r>
  </si>
  <si>
    <r>
      <rPr>
        <sz val="10"/>
        <rFont val="Arial"/>
        <family val="2"/>
      </rPr>
      <t>Classificazione:</t>
    </r>
  </si>
  <si>
    <r>
      <rPr>
        <sz val="10"/>
        <rFont val="Arial"/>
        <family val="2"/>
      </rPr>
      <t xml:space="preserve">Copia: </t>
    </r>
  </si>
  <si>
    <r>
      <rPr>
        <b/>
        <sz val="10"/>
        <rFont val="Arial"/>
        <family val="2"/>
      </rPr>
      <t>Approvazione</t>
    </r>
  </si>
  <si>
    <t>Visto del responsabile:</t>
  </si>
  <si>
    <r>
      <rPr>
        <sz val="10"/>
        <rFont val="Arial"/>
        <family val="2"/>
      </rPr>
      <t>Data:</t>
    </r>
  </si>
  <si>
    <r>
      <rPr>
        <sz val="10"/>
        <rFont val="Arial"/>
        <family val="2"/>
      </rPr>
      <t>Aumentare la pressione a STP =</t>
    </r>
  </si>
  <si>
    <t>Pressione all’inizio della prova :</t>
  </si>
  <si>
    <t>Pressione alla fine della prova :</t>
  </si>
  <si>
    <r>
      <rPr>
        <sz val="10"/>
        <rFont val="Arial"/>
        <family val="2"/>
      </rPr>
      <t>Il calo di pressione ammesso è</t>
    </r>
  </si>
  <si>
    <r>
      <rPr>
        <sz val="10"/>
        <rFont val="Arial"/>
        <family val="2"/>
      </rPr>
      <t>Volume max.</t>
    </r>
  </si>
  <si>
    <t>e attendere</t>
  </si>
  <si>
    <r>
      <rPr>
        <sz val="10"/>
        <rFont val="Arial"/>
        <family val="2"/>
      </rPr>
      <t>Volume d’acqua ammissibile da pompare</t>
    </r>
  </si>
  <si>
    <r>
      <rPr>
        <sz val="10"/>
        <rFont val="Arial"/>
        <family val="2"/>
      </rPr>
      <t>Antisfilamento</t>
    </r>
  </si>
  <si>
    <t>Mat sì</t>
  </si>
  <si>
    <t>Diam sì</t>
  </si>
  <si>
    <t>Scelta</t>
  </si>
  <si>
    <t>Prova preliminare</t>
  </si>
  <si>
    <t>Prova principale</t>
  </si>
  <si>
    <t>Modulo elastico</t>
  </si>
  <si>
    <r>
      <rPr>
        <sz val="10"/>
        <rFont val="Arial"/>
        <family val="2"/>
      </rPr>
      <t>PRFV</t>
    </r>
  </si>
  <si>
    <t>da 500 a 700</t>
  </si>
  <si>
    <r>
      <rPr>
        <sz val="10"/>
        <rFont val="Arial"/>
        <family val="2"/>
      </rPr>
      <t>da 200 a 400</t>
    </r>
  </si>
  <si>
    <t>Calo di pressione ammesso</t>
  </si>
  <si>
    <t>Prova del calo di pressione</t>
  </si>
  <si>
    <r>
      <rPr>
        <b/>
        <sz val="11"/>
        <rFont val="Arial"/>
        <family val="2"/>
      </rPr>
      <t>PROVA DI TENUTA PER CONDOTTE CON PROCEDIMENTO NORMALE</t>
    </r>
  </si>
  <si>
    <t>Lunghezza tratto di prova (L) :</t>
  </si>
  <si>
    <t>Ghisa duttile rivestimento malta cementizia</t>
  </si>
  <si>
    <t>Acciaio con rivestimento in malta cementizia</t>
  </si>
  <si>
    <t>Acciaio senza rivestimento in malta cementizia</t>
  </si>
  <si>
    <r>
      <t>Misurare il prelievo di acqua ΔV</t>
    </r>
    <r>
      <rPr>
        <vertAlign val="subscript"/>
        <sz val="10"/>
        <rFont val="Arial"/>
        <family val="2"/>
      </rPr>
      <t>g</t>
    </r>
    <r>
      <rPr>
        <sz val="10"/>
        <rFont val="Arial"/>
        <family val="2"/>
      </rPr>
      <t xml:space="preserve"> =</t>
    </r>
  </si>
  <si>
    <r>
      <rPr>
        <sz val="10"/>
        <rFont val="Arial"/>
        <family val="2"/>
      </rPr>
      <t>Autostagno con antisfilamento</t>
    </r>
  </si>
  <si>
    <r>
      <rPr>
        <sz val="10"/>
        <rFont val="Arial"/>
        <family val="2"/>
      </rPr>
      <t>Autostagno con antisfilamento esterno</t>
    </r>
  </si>
  <si>
    <r>
      <rPr>
        <sz val="10"/>
        <rFont val="Arial"/>
        <family val="2"/>
      </rPr>
      <t>Autostagno senza antisfilamento</t>
    </r>
  </si>
  <si>
    <r>
      <rPr>
        <sz val="5"/>
        <rFont val="Arial"/>
        <family val="2"/>
      </rPr>
      <t>Procedimento normale stato 4.6.12</t>
    </r>
  </si>
  <si>
    <r>
      <rPr>
        <b/>
        <sz val="12"/>
        <rFont val="Arial"/>
        <family val="2"/>
      </rPr>
      <t>Protocollo di verifica</t>
    </r>
  </si>
  <si>
    <r>
      <rPr>
        <sz val="8"/>
        <rFont val="Arial"/>
        <family val="2"/>
      </rPr>
      <t>Marzo 2013</t>
    </r>
  </si>
  <si>
    <t>Materiale</t>
  </si>
  <si>
    <t>Diametro</t>
  </si>
  <si>
    <t>Ghisa duttile rivestimento malta cementizia</t>
  </si>
  <si>
    <t>Ghisa duttile rivestimento malta cementizia</t>
  </si>
  <si>
    <t>e</t>
  </si>
  <si>
    <t>DI</t>
  </si>
  <si>
    <t>Ghisa duttile rivestimento malta cementizia</t>
  </si>
  <si>
    <t>Acciaio con rivestimento in malta cementizia</t>
  </si>
  <si>
    <r>
      <rPr>
        <sz val="10"/>
        <rFont val="Arial"/>
        <family val="2"/>
      </rPr>
      <t>≤400</t>
    </r>
  </si>
  <si>
    <t>Acciaio con rivestimento in malta cementizia</t>
  </si>
  <si>
    <t>da 500 a 700</t>
  </si>
  <si>
    <r>
      <rPr>
        <sz val="10"/>
        <rFont val="Arial"/>
        <family val="2"/>
      </rPr>
      <t>PRFV</t>
    </r>
  </si>
  <si>
    <t>Acciaio con rivestimento in malta cementizia</t>
  </si>
  <si>
    <r>
      <rPr>
        <sz val="10"/>
        <rFont val="Arial"/>
        <family val="2"/>
      </rPr>
      <t>&gt;700</t>
    </r>
  </si>
  <si>
    <t>Ghisa duttile K9 ECOPUR</t>
  </si>
  <si>
    <r>
      <rPr>
        <sz val="10"/>
        <rFont val="Arial"/>
        <family val="2"/>
      </rPr>
      <t>≤400</t>
    </r>
  </si>
  <si>
    <t>Ghisa duttile K9 ECOPUR</t>
  </si>
  <si>
    <t>da 500 a 700</t>
  </si>
  <si>
    <t>Ghisa duttile K9 ECOPUR</t>
  </si>
  <si>
    <r>
      <rPr>
        <sz val="10"/>
        <rFont val="Arial"/>
        <family val="2"/>
      </rPr>
      <t>&gt;700</t>
    </r>
  </si>
  <si>
    <r>
      <rPr>
        <sz val="10"/>
        <rFont val="Arial"/>
        <family val="2"/>
      </rPr>
      <t>PUR</t>
    </r>
  </si>
  <si>
    <t>Acciaio senza rivestimento in malta cementizia</t>
  </si>
  <si>
    <r>
      <rPr>
        <sz val="10"/>
        <rFont val="Arial"/>
        <family val="2"/>
      </rPr>
      <t>≤400</t>
    </r>
  </si>
  <si>
    <r>
      <rPr>
        <sz val="10"/>
        <color indexed="10"/>
        <rFont val="Arial"/>
        <family val="2"/>
      </rPr>
      <t>*</t>
    </r>
  </si>
  <si>
    <t>mm</t>
  </si>
  <si>
    <t>Acciaio senza rivestimento in malta cementizia</t>
  </si>
  <si>
    <t>da 500 a 700</t>
  </si>
  <si>
    <r>
      <rPr>
        <sz val="10"/>
        <color indexed="10"/>
        <rFont val="Arial"/>
        <family val="2"/>
      </rPr>
      <t>*</t>
    </r>
  </si>
  <si>
    <t>N/mm2</t>
  </si>
  <si>
    <r>
      <rPr>
        <sz val="10"/>
        <rFont val="Arial"/>
        <family val="2"/>
      </rPr>
      <t>Malta cementizia</t>
    </r>
  </si>
  <si>
    <t>Acciaio senza rivestimento in malta cementizia</t>
  </si>
  <si>
    <r>
      <rPr>
        <sz val="10"/>
        <rFont val="Arial"/>
        <family val="2"/>
      </rPr>
      <t>&gt;700</t>
    </r>
  </si>
  <si>
    <r>
      <rPr>
        <sz val="10"/>
        <rFont val="Arial"/>
        <family val="2"/>
      </rPr>
      <t>mm</t>
    </r>
  </si>
  <si>
    <r>
      <rPr>
        <sz val="10"/>
        <rFont val="Arial"/>
        <family val="2"/>
      </rPr>
      <t>Acciaio, calcestruzzo interno + esterno</t>
    </r>
  </si>
  <si>
    <r>
      <rPr>
        <sz val="10"/>
        <rFont val="Arial"/>
        <family val="2"/>
      </rPr>
      <t>≤400</t>
    </r>
  </si>
  <si>
    <r>
      <rPr>
        <sz val="10"/>
        <rFont val="Arial"/>
        <family val="2"/>
      </rPr>
      <t>m</t>
    </r>
  </si>
  <si>
    <r>
      <rPr>
        <sz val="10"/>
        <rFont val="Arial"/>
        <family val="2"/>
      </rPr>
      <t>Acciaio, calcestruzzo interno + esterno</t>
    </r>
  </si>
  <si>
    <t>da 500 a 700</t>
  </si>
  <si>
    <r>
      <rPr>
        <sz val="10"/>
        <rFont val="Arial"/>
        <family val="2"/>
      </rPr>
      <t>f</t>
    </r>
  </si>
  <si>
    <r>
      <rPr>
        <sz val="10"/>
        <rFont val="Arial"/>
        <family val="2"/>
      </rPr>
      <t>Acciaio, calcestruzzo interno + esterno</t>
    </r>
  </si>
  <si>
    <r>
      <rPr>
        <sz val="10"/>
        <rFont val="Arial"/>
        <family val="2"/>
      </rPr>
      <t>&gt;700</t>
    </r>
  </si>
  <si>
    <t>PE 80 S5</t>
  </si>
  <si>
    <t>PE 80 S5</t>
  </si>
  <si>
    <t>PE 80 S5</t>
  </si>
  <si>
    <t>PE 80 S8</t>
  </si>
  <si>
    <t>&lt;200</t>
  </si>
  <si>
    <t>PE 80 S8</t>
  </si>
  <si>
    <r>
      <rPr>
        <sz val="10"/>
        <rFont val="Arial"/>
        <family val="2"/>
      </rPr>
      <t>da 200 a 400</t>
    </r>
  </si>
  <si>
    <t>PE 80 S8</t>
  </si>
  <si>
    <r>
      <rPr>
        <sz val="10"/>
        <rFont val="Arial"/>
        <family val="2"/>
      </rPr>
      <t>&gt;400</t>
    </r>
  </si>
  <si>
    <r>
      <rPr>
        <sz val="10"/>
        <rFont val="Arial"/>
        <family val="2"/>
      </rPr>
      <t>PE 100 S5</t>
    </r>
  </si>
  <si>
    <t>&lt;200</t>
  </si>
  <si>
    <r>
      <rPr>
        <sz val="10"/>
        <rFont val="Arial"/>
        <family val="2"/>
      </rPr>
      <t>bar</t>
    </r>
  </si>
  <si>
    <r>
      <rPr>
        <sz val="10"/>
        <rFont val="Arial"/>
        <family val="2"/>
      </rPr>
      <t>PE 100 S5</t>
    </r>
  </si>
  <si>
    <r>
      <rPr>
        <sz val="10"/>
        <rFont val="Arial"/>
        <family val="2"/>
      </rPr>
      <t>da 200 a 400</t>
    </r>
  </si>
  <si>
    <r>
      <rPr>
        <sz val="10"/>
        <color indexed="10"/>
        <rFont val="Arial"/>
        <family val="2"/>
      </rPr>
      <t>*</t>
    </r>
  </si>
  <si>
    <r>
      <rPr>
        <sz val="10"/>
        <rFont val="Arial"/>
        <family val="2"/>
      </rPr>
      <t>bar</t>
    </r>
  </si>
  <si>
    <r>
      <rPr>
        <sz val="10"/>
        <rFont val="Arial"/>
        <family val="2"/>
      </rPr>
      <t>PE 100 S5</t>
    </r>
  </si>
  <si>
    <r>
      <rPr>
        <sz val="10"/>
        <rFont val="Arial"/>
        <family val="2"/>
      </rPr>
      <t>&gt;400</t>
    </r>
  </si>
  <si>
    <r>
      <rPr>
        <sz val="10"/>
        <rFont val="Arial"/>
        <family val="2"/>
      </rPr>
      <t>bar</t>
    </r>
  </si>
  <si>
    <t>PE 100 S8</t>
  </si>
  <si>
    <t>&lt;200</t>
  </si>
  <si>
    <r>
      <rPr>
        <sz val="10"/>
        <rFont val="Arial"/>
        <family val="2"/>
      </rPr>
      <t>bar</t>
    </r>
  </si>
  <si>
    <t>PE 100 S8</t>
  </si>
  <si>
    <r>
      <rPr>
        <sz val="10"/>
        <rFont val="Arial"/>
        <family val="2"/>
      </rPr>
      <t>da 200 a 400</t>
    </r>
  </si>
  <si>
    <r>
      <rPr>
        <sz val="10"/>
        <rFont val="Arial"/>
        <family val="2"/>
      </rPr>
      <t>bar</t>
    </r>
  </si>
  <si>
    <t>PE 100 S8</t>
  </si>
  <si>
    <r>
      <rPr>
        <sz val="10"/>
        <rFont val="Arial"/>
        <family val="2"/>
      </rPr>
      <t>&gt;400</t>
    </r>
  </si>
  <si>
    <r>
      <rPr>
        <sz val="10"/>
        <rFont val="Arial"/>
        <family val="2"/>
      </rPr>
      <t>bar</t>
    </r>
  </si>
  <si>
    <r>
      <rPr>
        <sz val="10"/>
        <rFont val="Arial"/>
        <family val="2"/>
      </rPr>
      <t>PRFV</t>
    </r>
  </si>
  <si>
    <t>&lt;200</t>
  </si>
  <si>
    <r>
      <rPr>
        <sz val="10"/>
        <rFont val="Arial"/>
        <family val="2"/>
      </rPr>
      <t>PRFV</t>
    </r>
  </si>
  <si>
    <r>
      <rPr>
        <sz val="10"/>
        <rFont val="Arial"/>
        <family val="2"/>
      </rPr>
      <t>da 200 a 400</t>
    </r>
  </si>
  <si>
    <r>
      <rPr>
        <sz val="10"/>
        <rFont val="Arial"/>
        <family val="2"/>
      </rPr>
      <t>Er =</t>
    </r>
  </si>
  <si>
    <r>
      <rPr>
        <sz val="10"/>
        <rFont val="Arial"/>
        <family val="2"/>
      </rPr>
      <t>PRFV</t>
    </r>
  </si>
  <si>
    <r>
      <rPr>
        <sz val="10"/>
        <rFont val="Arial"/>
        <family val="2"/>
      </rPr>
      <t>&gt;400</t>
    </r>
  </si>
  <si>
    <r>
      <rPr>
        <sz val="10"/>
        <rFont val="Arial"/>
        <family val="2"/>
      </rPr>
      <t>Er =</t>
    </r>
  </si>
  <si>
    <t>bar</t>
  </si>
  <si>
    <r>
      <rPr>
        <b/>
        <sz val="10"/>
        <rFont val="Arial"/>
        <family val="2"/>
      </rPr>
      <t>bar</t>
    </r>
  </si>
  <si>
    <r>
      <rPr>
        <sz val="10"/>
        <rFont val="Arial"/>
        <family val="2"/>
      </rPr>
      <t>h</t>
    </r>
  </si>
  <si>
    <r>
      <rPr>
        <b/>
        <sz val="10"/>
        <rFont val="Arial"/>
        <family val="2"/>
      </rPr>
      <t>ml</t>
    </r>
  </si>
  <si>
    <r>
      <rPr>
        <sz val="10"/>
        <rFont val="Arial"/>
        <family val="2"/>
      </rPr>
      <t>ml</t>
    </r>
  </si>
  <si>
    <t>Pressione</t>
  </si>
  <si>
    <t>bar</t>
  </si>
  <si>
    <r>
      <rPr>
        <sz val="10"/>
        <rFont val="Arial"/>
        <family val="2"/>
      </rPr>
      <t>h</t>
    </r>
  </si>
  <si>
    <t>ore</t>
  </si>
  <si>
    <r>
      <rPr>
        <sz val="10"/>
        <rFont val="Arial"/>
        <family val="2"/>
      </rPr>
      <t>h</t>
    </r>
  </si>
  <si>
    <r>
      <rPr>
        <sz val="10"/>
        <rFont val="Arial"/>
        <family val="2"/>
      </rPr>
      <t>h</t>
    </r>
  </si>
  <si>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Vzul</t>
    </r>
  </si>
  <si>
    <r>
      <rPr>
        <sz val="10"/>
        <rFont val="Arial"/>
        <family val="2"/>
      </rPr>
      <t>bar</t>
    </r>
  </si>
  <si>
    <r>
      <rPr>
        <sz val="10"/>
        <rFont val="Arial"/>
        <family val="2"/>
      </rPr>
      <t>h</t>
    </r>
  </si>
  <si>
    <r>
      <rPr>
        <b/>
        <sz val="10"/>
        <rFont val="Arial"/>
        <family val="2"/>
      </rPr>
      <t>Osservazioni:</t>
    </r>
  </si>
  <si>
    <t>Volume d’acqua ammissibile da pompare</t>
  </si>
  <si>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vamm</t>
    </r>
  </si>
  <si>
    <t>Δpamm</t>
  </si>
  <si>
    <t>Modulo di elasticità materiale tubo</t>
  </si>
  <si>
    <t>Spessore parete</t>
  </si>
  <si>
    <t>Lunghezza tratto di prova</t>
  </si>
  <si>
    <t>Fattore compens. per inclusioni 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</si>
</sst>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/mm/yyyy;@"/>
    <numFmt numFmtId="166" formatCode="&quot;Version du &quot;dd\ mmmm\ yyyy"/>
  </numFmts>
  <fonts count="2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name val="Wingdings 2"/>
      <family val="1"/>
      <charset val="2"/>
    </font>
    <font>
      <sz val="10"/>
      <name val="Arial Black"/>
      <family val="2"/>
    </font>
    <font>
      <b/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1"/>
      <name val="Times New Roman"/>
      <family val="1"/>
    </font>
    <font>
      <sz val="10"/>
      <color indexed="10"/>
      <name val="Arial"/>
      <family val="2"/>
    </font>
    <font>
      <vertAlign val="subscript"/>
      <sz val="10"/>
      <name val="Arial"/>
      <family val="2"/>
    </font>
    <font>
      <i/>
      <sz val="6"/>
      <color indexed="12"/>
      <name val="Arial"/>
      <family val="2"/>
    </font>
    <font>
      <i/>
      <sz val="8"/>
      <color indexed="12"/>
      <name val="Arial"/>
      <family val="2"/>
    </font>
    <font>
      <i/>
      <u/>
      <sz val="6"/>
      <color indexed="12"/>
      <name val="Arial Black"/>
      <family val="2"/>
    </font>
    <font>
      <i/>
      <sz val="8"/>
      <color indexed="12"/>
      <name val="Wingdings 2"/>
      <family val="1"/>
      <charset val="2"/>
    </font>
    <font>
      <sz val="8"/>
      <name val="Wingdings 2"/>
      <family val="1"/>
      <charset val="2"/>
    </font>
    <font>
      <sz val="10"/>
      <name val="Symbol"/>
      <family val="1"/>
      <charset val="2"/>
    </font>
    <font>
      <sz val="9"/>
      <color indexed="81"/>
      <name val="Tahoma"/>
      <family val="2"/>
    </font>
    <font>
      <sz val="10"/>
      <name val="Arial Narrow"/>
      <family val="2"/>
    </font>
    <font>
      <sz val="5"/>
      <name val="Arial"/>
      <family val="2"/>
    </font>
    <font>
      <sz val="9"/>
      <name val="Arial"/>
      <family val="2"/>
    </font>
    <font>
      <sz val="10"/>
      <name val="Arial"/>
      <family val="1"/>
      <charset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8">
    <xf numFmtId="0" fontId="0" fillId="0" borderId="0" xfId="0"/>
    <xf numFmtId="0" fontId="1" fillId="0" borderId="0" xfId="1" applyProtection="1"/>
    <xf numFmtId="0" fontId="3" fillId="0" borderId="0" xfId="1" applyFont="1" applyProtection="1"/>
    <xf numFmtId="0" fontId="1" fillId="0" borderId="1" xfId="1" applyBorder="1" applyProtection="1"/>
    <xf numFmtId="0" fontId="1" fillId="3" borderId="2" xfId="1" applyFill="1" applyBorder="1" applyProtection="1"/>
    <xf numFmtId="0" fontId="1" fillId="3" borderId="3" xfId="1" applyFill="1" applyBorder="1" applyProtection="1"/>
    <xf numFmtId="0" fontId="4" fillId="3" borderId="0" xfId="1" applyFont="1" applyFill="1" applyBorder="1" applyAlignment="1" applyProtection="1">
      <alignment horizontal="center"/>
    </xf>
    <xf numFmtId="0" fontId="1" fillId="3" borderId="6" xfId="1" applyFill="1" applyBorder="1" applyProtection="1"/>
    <xf numFmtId="0" fontId="1" fillId="3" borderId="7" xfId="1" applyFill="1" applyBorder="1" applyProtection="1"/>
    <xf numFmtId="0" fontId="1" fillId="3" borderId="0" xfId="1" applyFill="1" applyBorder="1" applyProtection="1"/>
    <xf numFmtId="0" fontId="1" fillId="3" borderId="9" xfId="1" applyFill="1" applyBorder="1" applyProtection="1"/>
    <xf numFmtId="0" fontId="8" fillId="0" borderId="0" xfId="1" applyFont="1" applyAlignment="1" applyProtection="1">
      <alignment horizontal="center"/>
    </xf>
    <xf numFmtId="0" fontId="1" fillId="0" borderId="2" xfId="1" applyBorder="1" applyProtection="1"/>
    <xf numFmtId="0" fontId="1" fillId="0" borderId="3" xfId="1" applyBorder="1" applyProtection="1"/>
    <xf numFmtId="0" fontId="1" fillId="0" borderId="0" xfId="1" applyBorder="1" applyProtection="1"/>
    <xf numFmtId="0" fontId="1" fillId="0" borderId="8" xfId="1" applyBorder="1" applyProtection="1"/>
    <xf numFmtId="0" fontId="1" fillId="0" borderId="7" xfId="1" applyBorder="1" applyProtection="1"/>
    <xf numFmtId="0" fontId="1" fillId="0" borderId="9" xfId="1" applyBorder="1" applyProtection="1"/>
    <xf numFmtId="0" fontId="11" fillId="0" borderId="0" xfId="1" applyFont="1" applyProtection="1"/>
    <xf numFmtId="0" fontId="8" fillId="0" borderId="0" xfId="1" applyFont="1" applyAlignment="1" applyProtection="1">
      <alignment horizontal="center"/>
      <protection locked="0"/>
    </xf>
    <xf numFmtId="0" fontId="1" fillId="0" borderId="0" xfId="1" applyAlignment="1" applyProtection="1">
      <alignment horizontal="center"/>
    </xf>
    <xf numFmtId="0" fontId="1" fillId="4" borderId="2" xfId="1" applyFill="1" applyBorder="1" applyProtection="1">
      <protection locked="0"/>
    </xf>
    <xf numFmtId="0" fontId="1" fillId="4" borderId="8" xfId="1" applyFill="1" applyBorder="1" applyProtection="1"/>
    <xf numFmtId="0" fontId="1" fillId="0" borderId="6" xfId="1" applyBorder="1" applyProtection="1"/>
    <xf numFmtId="0" fontId="1" fillId="0" borderId="12" xfId="1" applyBorder="1" applyProtection="1"/>
    <xf numFmtId="0" fontId="1" fillId="0" borderId="12" xfId="1" applyBorder="1" applyAlignment="1" applyProtection="1">
      <alignment horizontal="center"/>
    </xf>
    <xf numFmtId="0" fontId="1" fillId="0" borderId="12" xfId="1" applyBorder="1" applyAlignment="1" applyProtection="1"/>
    <xf numFmtId="0" fontId="8" fillId="0" borderId="3" xfId="1" applyFont="1" applyBorder="1" applyProtection="1"/>
    <xf numFmtId="0" fontId="1" fillId="4" borderId="2" xfId="1" applyFill="1" applyBorder="1" applyProtection="1"/>
    <xf numFmtId="0" fontId="1" fillId="4" borderId="3" xfId="1" applyFill="1" applyBorder="1" applyProtection="1"/>
    <xf numFmtId="0" fontId="1" fillId="4" borderId="7" xfId="1" applyFill="1" applyBorder="1" applyProtection="1"/>
    <xf numFmtId="0" fontId="1" fillId="4" borderId="9" xfId="1" applyFill="1" applyBorder="1" applyProtection="1"/>
    <xf numFmtId="0" fontId="1" fillId="0" borderId="6" xfId="1" applyBorder="1" applyAlignment="1" applyProtection="1">
      <alignment horizontal="center"/>
    </xf>
    <xf numFmtId="1" fontId="1" fillId="0" borderId="12" xfId="1" applyNumberFormat="1" applyFont="1" applyBorder="1" applyAlignment="1" applyProtection="1">
      <alignment horizontal="center"/>
    </xf>
    <xf numFmtId="1" fontId="1" fillId="0" borderId="12" xfId="1" applyNumberFormat="1" applyFont="1" applyBorder="1" applyProtection="1"/>
    <xf numFmtId="0" fontId="1" fillId="0" borderId="0" xfId="1" applyFill="1" applyBorder="1" applyAlignment="1" applyProtection="1"/>
    <xf numFmtId="0" fontId="1" fillId="0" borderId="0" xfId="1" applyBorder="1" applyAlignment="1" applyProtection="1"/>
    <xf numFmtId="0" fontId="3" fillId="0" borderId="0" xfId="1" applyFont="1" applyBorder="1" applyProtection="1"/>
    <xf numFmtId="164" fontId="1" fillId="0" borderId="0" xfId="1" applyNumberFormat="1" applyAlignment="1" applyProtection="1">
      <alignment horizontal="center"/>
    </xf>
    <xf numFmtId="0" fontId="1" fillId="4" borderId="7" xfId="1" applyFont="1" applyFill="1" applyBorder="1" applyProtection="1">
      <protection locked="0"/>
    </xf>
    <xf numFmtId="0" fontId="1" fillId="4" borderId="0" xfId="1" applyFill="1" applyBorder="1" applyProtection="1"/>
    <xf numFmtId="0" fontId="1" fillId="4" borderId="7" xfId="1" applyFont="1" applyFill="1" applyBorder="1" applyProtection="1"/>
    <xf numFmtId="1" fontId="1" fillId="0" borderId="12" xfId="1" applyNumberFormat="1" applyBorder="1" applyAlignment="1" applyProtection="1">
      <alignment horizontal="center"/>
    </xf>
    <xf numFmtId="0" fontId="1" fillId="0" borderId="12" xfId="1" applyFill="1" applyBorder="1" applyProtection="1"/>
    <xf numFmtId="0" fontId="1" fillId="0" borderId="0" xfId="1" applyFont="1" applyBorder="1" applyProtection="1"/>
    <xf numFmtId="0" fontId="1" fillId="0" borderId="0" xfId="1" applyBorder="1" applyAlignment="1" applyProtection="1">
      <alignment horizontal="center"/>
    </xf>
    <xf numFmtId="164" fontId="1" fillId="0" borderId="0" xfId="1" applyNumberFormat="1" applyBorder="1" applyAlignment="1" applyProtection="1">
      <alignment horizontal="center"/>
    </xf>
    <xf numFmtId="0" fontId="1" fillId="4" borderId="0" xfId="1" applyFill="1" applyBorder="1" applyAlignment="1" applyProtection="1">
      <alignment horizontal="left"/>
    </xf>
    <xf numFmtId="0" fontId="1" fillId="0" borderId="12" xfId="1" applyFill="1" applyBorder="1" applyAlignment="1" applyProtection="1">
      <alignment horizontal="center"/>
    </xf>
    <xf numFmtId="0" fontId="1" fillId="0" borderId="7" xfId="1" applyFont="1" applyBorder="1" applyProtection="1"/>
    <xf numFmtId="0" fontId="1" fillId="0" borderId="9" xfId="1" applyFont="1" applyBorder="1" applyProtection="1"/>
    <xf numFmtId="0" fontId="1" fillId="0" borderId="0" xfId="1" applyFont="1" applyBorder="1" applyAlignment="1" applyProtection="1">
      <alignment horizontal="center"/>
    </xf>
    <xf numFmtId="0" fontId="1" fillId="0" borderId="12" xfId="1" applyFont="1" applyFill="1" applyBorder="1" applyAlignment="1" applyProtection="1">
      <alignment horizontal="center"/>
    </xf>
    <xf numFmtId="0" fontId="1" fillId="0" borderId="12" xfId="1" applyFont="1" applyFill="1" applyBorder="1" applyProtection="1"/>
    <xf numFmtId="0" fontId="1" fillId="0" borderId="0" xfId="1" applyFill="1" applyBorder="1" applyProtection="1"/>
    <xf numFmtId="0" fontId="1" fillId="0" borderId="0" xfId="1" applyFont="1" applyFill="1" applyBorder="1" applyAlignment="1" applyProtection="1">
      <alignment horizontal="center"/>
    </xf>
    <xf numFmtId="0" fontId="1" fillId="4" borderId="0" xfId="1" applyFont="1" applyFill="1" applyBorder="1" applyProtection="1"/>
    <xf numFmtId="0" fontId="1" fillId="0" borderId="12" xfId="1" applyFont="1" applyBorder="1" applyAlignment="1" applyProtection="1"/>
    <xf numFmtId="0" fontId="1" fillId="0" borderId="10" xfId="1" applyBorder="1" applyProtection="1"/>
    <xf numFmtId="0" fontId="1" fillId="0" borderId="1" xfId="1" applyFont="1" applyBorder="1" applyProtection="1"/>
    <xf numFmtId="0" fontId="1" fillId="0" borderId="1" xfId="1" applyFill="1" applyBorder="1" applyAlignment="1" applyProtection="1">
      <alignment horizontal="right"/>
    </xf>
    <xf numFmtId="0" fontId="1" fillId="0" borderId="11" xfId="1" applyBorder="1" applyProtection="1"/>
    <xf numFmtId="0" fontId="1" fillId="4" borderId="10" xfId="1" applyFont="1" applyFill="1" applyBorder="1" applyProtection="1"/>
    <xf numFmtId="0" fontId="1" fillId="4" borderId="1" xfId="1" applyFont="1" applyFill="1" applyBorder="1" applyProtection="1"/>
    <xf numFmtId="0" fontId="1" fillId="4" borderId="9" xfId="1" applyFont="1" applyFill="1" applyBorder="1" applyProtection="1"/>
    <xf numFmtId="0" fontId="1" fillId="0" borderId="0" xfId="1" applyFont="1" applyFill="1" applyBorder="1" applyProtection="1"/>
    <xf numFmtId="0" fontId="1" fillId="0" borderId="0" xfId="1" applyFill="1" applyBorder="1" applyAlignment="1" applyProtection="1">
      <alignment horizontal="center"/>
    </xf>
    <xf numFmtId="0" fontId="1" fillId="0" borderId="5" xfId="1" applyBorder="1" applyProtection="1"/>
    <xf numFmtId="0" fontId="1" fillId="0" borderId="12" xfId="1" applyFont="1" applyBorder="1" applyAlignment="1" applyProtection="1">
      <alignment horizontal="center"/>
    </xf>
    <xf numFmtId="0" fontId="8" fillId="0" borderId="3" xfId="1" applyFont="1" applyFill="1" applyBorder="1" applyProtection="1"/>
    <xf numFmtId="0" fontId="8" fillId="0" borderId="0" xfId="1" applyFont="1" applyProtection="1"/>
    <xf numFmtId="2" fontId="12" fillId="0" borderId="0" xfId="1" applyNumberFormat="1" applyFont="1" applyBorder="1" applyProtection="1"/>
    <xf numFmtId="0" fontId="8" fillId="0" borderId="0" xfId="1" applyFont="1" applyFill="1" applyBorder="1" applyAlignment="1" applyProtection="1">
      <alignment horizontal="center"/>
    </xf>
    <xf numFmtId="0" fontId="1" fillId="0" borderId="0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/>
    </xf>
    <xf numFmtId="0" fontId="1" fillId="4" borderId="2" xfId="1" applyFont="1" applyFill="1" applyBorder="1" applyProtection="1"/>
    <xf numFmtId="0" fontId="1" fillId="4" borderId="3" xfId="1" applyFont="1" applyFill="1" applyBorder="1" applyProtection="1"/>
    <xf numFmtId="0" fontId="12" fillId="0" borderId="0" xfId="1" applyFont="1" applyBorder="1" applyProtection="1"/>
    <xf numFmtId="0" fontId="1" fillId="0" borderId="0" xfId="1" applyFill="1" applyBorder="1" applyAlignment="1" applyProtection="1">
      <alignment horizontal="left"/>
    </xf>
    <xf numFmtId="0" fontId="1" fillId="0" borderId="0" xfId="1" applyFont="1" applyBorder="1" applyAlignment="1" applyProtection="1">
      <alignment horizontal="left"/>
    </xf>
    <xf numFmtId="0" fontId="1" fillId="0" borderId="0" xfId="1" applyBorder="1" applyAlignment="1" applyProtection="1">
      <alignment horizontal="left"/>
    </xf>
    <xf numFmtId="0" fontId="1" fillId="0" borderId="0" xfId="1" applyFill="1" applyBorder="1" applyAlignment="1" applyProtection="1">
      <protection locked="0"/>
    </xf>
    <xf numFmtId="0" fontId="1" fillId="4" borderId="11" xfId="1" applyFont="1" applyFill="1" applyBorder="1" applyProtection="1"/>
    <xf numFmtId="0" fontId="1" fillId="0" borderId="14" xfId="1" applyBorder="1" applyAlignment="1" applyProtection="1">
      <alignment horizontal="center"/>
    </xf>
    <xf numFmtId="0" fontId="1" fillId="0" borderId="14" xfId="1" applyFont="1" applyFill="1" applyBorder="1" applyAlignment="1" applyProtection="1">
      <alignment horizontal="center"/>
    </xf>
    <xf numFmtId="1" fontId="1" fillId="0" borderId="14" xfId="1" applyNumberFormat="1" applyFont="1" applyBorder="1" applyAlignment="1" applyProtection="1">
      <alignment horizontal="center"/>
    </xf>
    <xf numFmtId="0" fontId="1" fillId="0" borderId="14" xfId="1" applyFont="1" applyFill="1" applyBorder="1" applyProtection="1"/>
    <xf numFmtId="0" fontId="1" fillId="0" borderId="14" xfId="1" applyBorder="1" applyProtection="1"/>
    <xf numFmtId="0" fontId="1" fillId="0" borderId="12" xfId="1" applyFont="1" applyBorder="1" applyProtection="1"/>
    <xf numFmtId="0" fontId="12" fillId="0" borderId="12" xfId="1" applyFont="1" applyBorder="1" applyAlignment="1" applyProtection="1"/>
    <xf numFmtId="164" fontId="1" fillId="0" borderId="0" xfId="1" applyNumberFormat="1" applyFont="1" applyFill="1" applyBorder="1" applyAlignment="1" applyProtection="1">
      <alignment horizontal="center"/>
    </xf>
    <xf numFmtId="0" fontId="1" fillId="4" borderId="0" xfId="1" applyFont="1" applyFill="1" applyBorder="1" applyProtection="1">
      <protection locked="0"/>
    </xf>
    <xf numFmtId="0" fontId="1" fillId="0" borderId="15" xfId="1" applyBorder="1" applyAlignment="1" applyProtection="1">
      <alignment horizontal="center"/>
    </xf>
    <xf numFmtId="1" fontId="1" fillId="0" borderId="15" xfId="1" applyNumberFormat="1" applyFont="1" applyBorder="1" applyAlignment="1" applyProtection="1">
      <alignment horizontal="center"/>
    </xf>
    <xf numFmtId="0" fontId="1" fillId="0" borderId="15" xfId="1" applyFill="1" applyBorder="1" applyProtection="1"/>
    <xf numFmtId="1" fontId="1" fillId="0" borderId="15" xfId="1" applyNumberFormat="1" applyFont="1" applyFill="1" applyBorder="1" applyAlignment="1" applyProtection="1">
      <alignment horizontal="center"/>
    </xf>
    <xf numFmtId="0" fontId="1" fillId="0" borderId="15" xfId="1" applyFont="1" applyBorder="1" applyAlignment="1" applyProtection="1"/>
    <xf numFmtId="0" fontId="1" fillId="0" borderId="15" xfId="1" applyFont="1" applyBorder="1" applyProtection="1"/>
    <xf numFmtId="1" fontId="1" fillId="0" borderId="12" xfId="1" applyNumberFormat="1" applyFont="1" applyFill="1" applyBorder="1" applyAlignment="1" applyProtection="1">
      <alignment horizontal="center"/>
    </xf>
    <xf numFmtId="49" fontId="1" fillId="0" borderId="2" xfId="1" applyNumberFormat="1" applyBorder="1" applyProtection="1"/>
    <xf numFmtId="0" fontId="1" fillId="0" borderId="3" xfId="1" applyFont="1" applyBorder="1" applyProtection="1"/>
    <xf numFmtId="49" fontId="1" fillId="0" borderId="7" xfId="1" applyNumberFormat="1" applyBorder="1" applyProtection="1"/>
    <xf numFmtId="0" fontId="10" fillId="0" borderId="0" xfId="1" applyFont="1" applyBorder="1" applyProtection="1"/>
    <xf numFmtId="49" fontId="10" fillId="0" borderId="0" xfId="1" applyNumberFormat="1" applyFont="1" applyFill="1" applyBorder="1" applyAlignment="1" applyProtection="1">
      <alignment horizontal="left"/>
    </xf>
    <xf numFmtId="49" fontId="10" fillId="0" borderId="0" xfId="1" applyNumberFormat="1" applyFont="1" applyBorder="1" applyAlignment="1" applyProtection="1">
      <alignment horizontal="left"/>
    </xf>
    <xf numFmtId="0" fontId="11" fillId="0" borderId="0" xfId="1" applyFont="1" applyBorder="1" applyProtection="1"/>
    <xf numFmtId="0" fontId="11" fillId="0" borderId="0" xfId="1" applyFont="1" applyFill="1" applyBorder="1" applyProtection="1"/>
    <xf numFmtId="0" fontId="1" fillId="0" borderId="0" xfId="1" applyFont="1" applyFill="1" applyBorder="1" applyAlignment="1" applyProtection="1"/>
    <xf numFmtId="164" fontId="1" fillId="0" borderId="0" xfId="1" applyNumberFormat="1" applyFont="1" applyBorder="1" applyProtection="1"/>
    <xf numFmtId="164" fontId="1" fillId="0" borderId="0" xfId="1" applyNumberFormat="1" applyFont="1" applyFill="1" applyBorder="1" applyProtection="1"/>
    <xf numFmtId="49" fontId="1" fillId="0" borderId="10" xfId="1" applyNumberFormat="1" applyBorder="1" applyProtection="1"/>
    <xf numFmtId="0" fontId="1" fillId="0" borderId="1" xfId="1" applyFont="1" applyFill="1" applyBorder="1" applyProtection="1"/>
    <xf numFmtId="164" fontId="1" fillId="0" borderId="1" xfId="1" applyNumberFormat="1" applyFont="1" applyBorder="1" applyAlignment="1" applyProtection="1">
      <alignment horizontal="center"/>
    </xf>
    <xf numFmtId="0" fontId="8" fillId="0" borderId="0" xfId="1" applyFont="1" applyBorder="1" applyProtection="1"/>
    <xf numFmtId="0" fontId="10" fillId="0" borderId="0" xfId="1" applyFont="1" applyFill="1" applyBorder="1" applyProtection="1"/>
    <xf numFmtId="0" fontId="1" fillId="0" borderId="0" xfId="1" applyAlignment="1" applyProtection="1"/>
    <xf numFmtId="0" fontId="12" fillId="0" borderId="0" xfId="1" applyFont="1" applyBorder="1" applyAlignment="1" applyProtection="1"/>
    <xf numFmtId="2" fontId="1" fillId="2" borderId="12" xfId="1" applyNumberFormat="1" applyFont="1" applyFill="1" applyBorder="1" applyAlignment="1" applyProtection="1">
      <alignment horizontal="center"/>
      <protection locked="0"/>
    </xf>
    <xf numFmtId="164" fontId="8" fillId="0" borderId="0" xfId="1" applyNumberFormat="1" applyFont="1" applyFill="1" applyBorder="1" applyAlignment="1" applyProtection="1">
      <alignment horizontal="center"/>
    </xf>
    <xf numFmtId="0" fontId="1" fillId="0" borderId="0" xfId="1" quotePrefix="1" applyFont="1" applyBorder="1" applyAlignment="1" applyProtection="1">
      <alignment horizontal="center"/>
    </xf>
    <xf numFmtId="0" fontId="8" fillId="0" borderId="1" xfId="1" applyFont="1" applyBorder="1" applyProtection="1"/>
    <xf numFmtId="0" fontId="1" fillId="0" borderId="3" xfId="1" applyBorder="1" applyAlignment="1" applyProtection="1"/>
    <xf numFmtId="2" fontId="1" fillId="0" borderId="5" xfId="1" applyNumberFormat="1" applyBorder="1" applyAlignment="1" applyProtection="1"/>
    <xf numFmtId="49" fontId="1" fillId="0" borderId="7" xfId="1" applyNumberFormat="1" applyBorder="1" applyAlignment="1" applyProtection="1">
      <alignment horizontal="left"/>
    </xf>
    <xf numFmtId="2" fontId="1" fillId="0" borderId="0" xfId="1" applyNumberFormat="1" applyFill="1" applyBorder="1" applyAlignment="1" applyProtection="1">
      <alignment horizontal="left"/>
    </xf>
    <xf numFmtId="2" fontId="1" fillId="0" borderId="0" xfId="1" applyNumberFormat="1" applyFill="1" applyBorder="1" applyAlignment="1" applyProtection="1">
      <alignment horizontal="center"/>
    </xf>
    <xf numFmtId="164" fontId="1" fillId="0" borderId="0" xfId="1" applyNumberFormat="1" applyFill="1" applyBorder="1" applyAlignment="1" applyProtection="1">
      <alignment horizontal="center"/>
    </xf>
    <xf numFmtId="0" fontId="1" fillId="0" borderId="0" xfId="1" applyFont="1" applyProtection="1"/>
    <xf numFmtId="0" fontId="10" fillId="0" borderId="0" xfId="1" applyFont="1" applyBorder="1" applyAlignment="1" applyProtection="1">
      <alignment vertical="center"/>
    </xf>
    <xf numFmtId="0" fontId="8" fillId="0" borderId="0" xfId="1" applyFont="1" applyAlignment="1" applyProtection="1"/>
    <xf numFmtId="0" fontId="1" fillId="0" borderId="1" xfId="1" applyBorder="1" applyAlignment="1" applyProtection="1">
      <alignment horizontal="center"/>
    </xf>
    <xf numFmtId="49" fontId="1" fillId="0" borderId="0" xfId="1" applyNumberFormat="1" applyBorder="1" applyProtection="1"/>
    <xf numFmtId="0" fontId="8" fillId="0" borderId="3" xfId="1" applyFont="1" applyFill="1" applyBorder="1" applyAlignment="1" applyProtection="1">
      <alignment horizontal="left"/>
    </xf>
    <xf numFmtId="14" fontId="1" fillId="2" borderId="13" xfId="1" applyNumberFormat="1" applyFill="1" applyBorder="1" applyAlignment="1" applyProtection="1">
      <alignment horizontal="center" vertical="center"/>
      <protection locked="0"/>
    </xf>
    <xf numFmtId="0" fontId="1" fillId="0" borderId="0" xfId="1" applyFill="1" applyBorder="1" applyAlignment="1" applyProtection="1">
      <alignment vertical="center"/>
    </xf>
    <xf numFmtId="0" fontId="3" fillId="0" borderId="10" xfId="1" applyFont="1" applyBorder="1" applyProtection="1"/>
    <xf numFmtId="0" fontId="3" fillId="0" borderId="1" xfId="1" applyFont="1" applyBorder="1" applyProtection="1"/>
    <xf numFmtId="0" fontId="14" fillId="0" borderId="5" xfId="1" applyFont="1" applyBorder="1" applyAlignment="1" applyProtection="1">
      <alignment horizontal="left"/>
    </xf>
    <xf numFmtId="14" fontId="15" fillId="0" borderId="5" xfId="1" applyNumberFormat="1" applyFont="1" applyBorder="1" applyAlignment="1" applyProtection="1">
      <alignment horizontal="left"/>
    </xf>
    <xf numFmtId="0" fontId="7" fillId="0" borderId="5" xfId="1" applyFont="1" applyBorder="1" applyProtection="1"/>
    <xf numFmtId="0" fontId="7" fillId="0" borderId="1" xfId="1" applyFont="1" applyBorder="1" applyProtection="1"/>
    <xf numFmtId="0" fontId="16" fillId="0" borderId="1" xfId="1" applyFont="1" applyBorder="1" applyAlignment="1" applyProtection="1">
      <alignment horizontal="center"/>
    </xf>
    <xf numFmtId="0" fontId="16" fillId="0" borderId="5" xfId="1" applyFont="1" applyBorder="1" applyAlignment="1" applyProtection="1">
      <alignment horizontal="center"/>
    </xf>
    <xf numFmtId="0" fontId="17" fillId="0" borderId="1" xfId="1" applyNumberFormat="1" applyFont="1" applyBorder="1" applyAlignment="1" applyProtection="1">
      <alignment horizontal="right"/>
    </xf>
    <xf numFmtId="0" fontId="7" fillId="0" borderId="0" xfId="1" applyFont="1" applyBorder="1" applyProtection="1"/>
    <xf numFmtId="14" fontId="15" fillId="0" borderId="0" xfId="1" applyNumberFormat="1" applyFont="1" applyBorder="1" applyAlignment="1" applyProtection="1">
      <alignment horizontal="left"/>
    </xf>
    <xf numFmtId="1" fontId="8" fillId="0" borderId="0" xfId="1" applyNumberFormat="1" applyFont="1" applyBorder="1" applyAlignment="1" applyProtection="1"/>
    <xf numFmtId="0" fontId="18" fillId="0" borderId="0" xfId="1" applyFont="1" applyBorder="1" applyProtection="1"/>
    <xf numFmtId="0" fontId="18" fillId="0" borderId="0" xfId="1" applyFont="1" applyProtection="1"/>
    <xf numFmtId="0" fontId="7" fillId="0" borderId="0" xfId="1" applyFont="1" applyProtection="1"/>
    <xf numFmtId="0" fontId="1" fillId="0" borderId="0" xfId="1" applyFont="1" applyBorder="1" applyAlignment="1" applyProtection="1">
      <alignment horizontal="left"/>
    </xf>
    <xf numFmtId="0" fontId="1" fillId="0" borderId="0" xfId="1" applyFont="1" applyFill="1" applyBorder="1" applyAlignment="1" applyProtection="1">
      <alignment horizontal="left"/>
    </xf>
    <xf numFmtId="0" fontId="1" fillId="5" borderId="9" xfId="1" applyFont="1" applyFill="1" applyBorder="1" applyProtection="1"/>
    <xf numFmtId="0" fontId="1" fillId="0" borderId="12" xfId="1" applyFont="1" applyBorder="1" applyAlignment="1" applyProtection="1">
      <alignment horizontal="left"/>
    </xf>
    <xf numFmtId="0" fontId="1" fillId="6" borderId="7" xfId="1" applyFont="1" applyFill="1" applyBorder="1" applyProtection="1"/>
    <xf numFmtId="0" fontId="1" fillId="6" borderId="9" xfId="1" applyFill="1" applyBorder="1" applyProtection="1"/>
    <xf numFmtId="0" fontId="1" fillId="6" borderId="7" xfId="1" applyFill="1" applyBorder="1" applyProtection="1"/>
    <xf numFmtId="0" fontId="1" fillId="6" borderId="9" xfId="1" applyFont="1" applyFill="1" applyBorder="1" applyProtection="1"/>
    <xf numFmtId="0" fontId="1" fillId="6" borderId="10" xfId="1" applyFont="1" applyFill="1" applyBorder="1" applyProtection="1"/>
    <xf numFmtId="0" fontId="1" fillId="6" borderId="11" xfId="1" applyFont="1" applyFill="1" applyBorder="1" applyProtection="1"/>
    <xf numFmtId="0" fontId="1" fillId="0" borderId="0" xfId="1" applyFont="1" applyFill="1" applyBorder="1" applyAlignment="1" applyProtection="1">
      <alignment horizontal="left"/>
    </xf>
    <xf numFmtId="0" fontId="1" fillId="3" borderId="8" xfId="1" applyFill="1" applyBorder="1" applyProtection="1"/>
    <xf numFmtId="0" fontId="4" fillId="3" borderId="3" xfId="1" applyFont="1" applyFill="1" applyBorder="1" applyAlignment="1" applyProtection="1">
      <alignment horizontal="center"/>
    </xf>
    <xf numFmtId="0" fontId="4" fillId="3" borderId="3" xfId="1" applyFont="1" applyFill="1" applyBorder="1" applyAlignment="1" applyProtection="1">
      <alignment horizontal="right"/>
    </xf>
    <xf numFmtId="0" fontId="4" fillId="3" borderId="3" xfId="1" applyFont="1" applyFill="1" applyBorder="1" applyAlignment="1" applyProtection="1">
      <alignment horizontal="left"/>
    </xf>
    <xf numFmtId="0" fontId="1" fillId="3" borderId="10" xfId="1" applyFill="1" applyBorder="1" applyProtection="1"/>
    <xf numFmtId="0" fontId="1" fillId="3" borderId="1" xfId="1" applyFill="1" applyBorder="1" applyProtection="1"/>
    <xf numFmtId="0" fontId="1" fillId="3" borderId="11" xfId="1" applyFill="1" applyBorder="1" applyProtection="1"/>
    <xf numFmtId="0" fontId="9" fillId="7" borderId="10" xfId="1" applyFont="1" applyFill="1" applyBorder="1" applyAlignment="1" applyProtection="1">
      <alignment horizontal="center" vertical="top"/>
    </xf>
    <xf numFmtId="0" fontId="9" fillId="7" borderId="1" xfId="1" applyFont="1" applyFill="1" applyBorder="1" applyAlignment="1" applyProtection="1">
      <alignment horizontal="center" vertical="top"/>
    </xf>
    <xf numFmtId="0" fontId="9" fillId="7" borderId="11" xfId="1" applyFont="1" applyFill="1" applyBorder="1" applyAlignment="1" applyProtection="1">
      <alignment horizontal="center" vertical="top"/>
    </xf>
    <xf numFmtId="0" fontId="2" fillId="5" borderId="0" xfId="1" applyFont="1" applyFill="1" applyProtection="1"/>
    <xf numFmtId="0" fontId="1" fillId="5" borderId="0" xfId="1" applyFill="1" applyProtection="1"/>
    <xf numFmtId="0" fontId="1" fillId="5" borderId="0" xfId="1" applyFill="1" applyBorder="1" applyProtection="1"/>
    <xf numFmtId="0" fontId="12" fillId="0" borderId="0" xfId="1" applyFont="1" applyBorder="1" applyAlignment="1" applyProtection="1">
      <alignment horizontal="right"/>
    </xf>
    <xf numFmtId="0" fontId="22" fillId="0" borderId="5" xfId="1" applyFont="1" applyBorder="1" applyProtection="1"/>
    <xf numFmtId="0" fontId="5" fillId="3" borderId="4" xfId="1" applyFont="1" applyFill="1" applyBorder="1" applyAlignment="1" applyProtection="1">
      <alignment horizontal="center" vertical="center"/>
    </xf>
    <xf numFmtId="0" fontId="5" fillId="3" borderId="5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center" vertical="center"/>
    </xf>
    <xf numFmtId="166" fontId="7" fillId="3" borderId="4" xfId="1" quotePrefix="1" applyNumberFormat="1" applyFont="1" applyFill="1" applyBorder="1" applyAlignment="1" applyProtection="1">
      <alignment horizontal="center"/>
    </xf>
    <xf numFmtId="166" fontId="7" fillId="3" borderId="5" xfId="1" applyNumberFormat="1" applyFont="1" applyFill="1" applyBorder="1" applyAlignment="1" applyProtection="1">
      <alignment horizontal="center"/>
    </xf>
    <xf numFmtId="0" fontId="6" fillId="7" borderId="2" xfId="1" applyFont="1" applyFill="1" applyBorder="1" applyAlignment="1" applyProtection="1">
      <alignment horizontal="center" vertical="center" wrapText="1"/>
    </xf>
    <xf numFmtId="0" fontId="6" fillId="7" borderId="3" xfId="1" applyFont="1" applyFill="1" applyBorder="1" applyAlignment="1" applyProtection="1">
      <alignment horizontal="center" vertical="center" wrapText="1"/>
    </xf>
    <xf numFmtId="0" fontId="6" fillId="7" borderId="8" xfId="1" applyFont="1" applyFill="1" applyBorder="1" applyAlignment="1" applyProtection="1">
      <alignment horizontal="center" vertical="center" wrapText="1"/>
    </xf>
    <xf numFmtId="0" fontId="6" fillId="7" borderId="7" xfId="1" applyFont="1" applyFill="1" applyBorder="1" applyAlignment="1" applyProtection="1">
      <alignment horizontal="center" vertical="center" wrapText="1"/>
    </xf>
    <xf numFmtId="0" fontId="6" fillId="7" borderId="0" xfId="1" applyFont="1" applyFill="1" applyBorder="1" applyAlignment="1" applyProtection="1">
      <alignment horizontal="center" vertical="center" wrapText="1"/>
    </xf>
    <xf numFmtId="0" fontId="6" fillId="7" borderId="9" xfId="1" applyFont="1" applyFill="1" applyBorder="1" applyAlignment="1" applyProtection="1">
      <alignment horizontal="center" vertical="center" wrapText="1"/>
    </xf>
    <xf numFmtId="0" fontId="7" fillId="3" borderId="7" xfId="1" applyFont="1" applyFill="1" applyBorder="1" applyProtection="1"/>
    <xf numFmtId="0" fontId="7" fillId="3" borderId="0" xfId="1" applyFont="1" applyFill="1" applyBorder="1" applyProtection="1"/>
    <xf numFmtId="0" fontId="6" fillId="3" borderId="7" xfId="1" applyFont="1" applyFill="1" applyBorder="1" applyAlignment="1" applyProtection="1">
      <alignment horizontal="center"/>
    </xf>
    <xf numFmtId="0" fontId="6" fillId="3" borderId="0" xfId="1" applyFont="1" applyFill="1" applyBorder="1" applyAlignment="1" applyProtection="1">
      <alignment horizontal="center"/>
    </xf>
    <xf numFmtId="0" fontId="6" fillId="3" borderId="9" xfId="1" applyFont="1" applyFill="1" applyBorder="1" applyAlignment="1" applyProtection="1">
      <alignment horizontal="center"/>
    </xf>
    <xf numFmtId="2" fontId="1" fillId="0" borderId="12" xfId="1" applyNumberFormat="1" applyBorder="1" applyAlignment="1" applyProtection="1">
      <alignment horizontal="left"/>
    </xf>
    <xf numFmtId="0" fontId="1" fillId="0" borderId="1" xfId="1" applyFont="1" applyBorder="1" applyAlignment="1" applyProtection="1">
      <alignment horizontal="center" vertical="top"/>
    </xf>
    <xf numFmtId="0" fontId="10" fillId="0" borderId="1" xfId="1" applyFont="1" applyBorder="1" applyAlignment="1" applyProtection="1">
      <alignment horizontal="center" vertical="top"/>
    </xf>
    <xf numFmtId="0" fontId="1" fillId="0" borderId="12" xfId="1" applyBorder="1" applyAlignment="1" applyProtection="1">
      <alignment horizontal="center" wrapText="1"/>
    </xf>
    <xf numFmtId="165" fontId="8" fillId="2" borderId="4" xfId="1" applyNumberFormat="1" applyFont="1" applyFill="1" applyBorder="1" applyAlignment="1" applyProtection="1">
      <alignment horizontal="center"/>
      <protection locked="0"/>
    </xf>
    <xf numFmtId="165" fontId="8" fillId="2" borderId="5" xfId="1" applyNumberFormat="1" applyFont="1" applyFill="1" applyBorder="1" applyAlignment="1" applyProtection="1">
      <alignment horizontal="center"/>
      <protection locked="0"/>
    </xf>
    <xf numFmtId="165" fontId="8" fillId="2" borderId="6" xfId="1" applyNumberFormat="1" applyFont="1" applyFill="1" applyBorder="1" applyAlignment="1" applyProtection="1">
      <alignment horizontal="center"/>
      <protection locked="0"/>
    </xf>
    <xf numFmtId="0" fontId="1" fillId="2" borderId="2" xfId="1" applyFill="1" applyBorder="1" applyAlignment="1" applyProtection="1">
      <alignment horizontal="center"/>
      <protection locked="0"/>
    </xf>
    <xf numFmtId="0" fontId="1" fillId="2" borderId="3" xfId="1" applyFill="1" applyBorder="1" applyAlignment="1" applyProtection="1">
      <alignment horizontal="center"/>
      <protection locked="0"/>
    </xf>
    <xf numFmtId="0" fontId="1" fillId="2" borderId="8" xfId="1" applyFill="1" applyBorder="1" applyAlignment="1" applyProtection="1">
      <alignment horizontal="center"/>
      <protection locked="0"/>
    </xf>
    <xf numFmtId="0" fontId="1" fillId="2" borderId="4" xfId="1" applyFill="1" applyBorder="1" applyAlignment="1" applyProtection="1">
      <alignment horizontal="left"/>
      <protection locked="0"/>
    </xf>
    <xf numFmtId="0" fontId="1" fillId="2" borderId="5" xfId="1" applyFill="1" applyBorder="1" applyAlignment="1" applyProtection="1">
      <alignment horizontal="left"/>
      <protection locked="0"/>
    </xf>
    <xf numFmtId="0" fontId="1" fillId="2" borderId="6" xfId="1" applyFill="1" applyBorder="1" applyAlignment="1" applyProtection="1">
      <alignment horizontal="left"/>
      <protection locked="0"/>
    </xf>
    <xf numFmtId="0" fontId="1" fillId="2" borderId="4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0" fontId="1" fillId="0" borderId="6" xfId="1" applyBorder="1" applyAlignment="1" applyProtection="1">
      <protection locked="0"/>
    </xf>
    <xf numFmtId="0" fontId="1" fillId="2" borderId="4" xfId="1" applyFont="1" applyFill="1" applyBorder="1" applyAlignment="1" applyProtection="1">
      <alignment horizontal="left"/>
      <protection locked="0"/>
    </xf>
    <xf numFmtId="0" fontId="1" fillId="2" borderId="5" xfId="1" applyFont="1" applyFill="1" applyBorder="1" applyAlignment="1" applyProtection="1">
      <alignment horizontal="left"/>
      <protection locked="0"/>
    </xf>
    <xf numFmtId="0" fontId="1" fillId="2" borderId="6" xfId="1" applyFont="1" applyFill="1" applyBorder="1" applyAlignment="1" applyProtection="1">
      <alignment horizontal="left"/>
      <protection locked="0"/>
    </xf>
    <xf numFmtId="0" fontId="1" fillId="2" borderId="4" xfId="1" applyFill="1" applyBorder="1" applyAlignment="1" applyProtection="1">
      <alignment horizontal="center"/>
      <protection locked="0"/>
    </xf>
    <xf numFmtId="0" fontId="1" fillId="2" borderId="6" xfId="1" applyFill="1" applyBorder="1" applyAlignment="1" applyProtection="1">
      <alignment horizontal="center"/>
      <protection locked="0"/>
    </xf>
    <xf numFmtId="1" fontId="8" fillId="0" borderId="12" xfId="1" applyNumberFormat="1" applyFont="1" applyBorder="1" applyAlignment="1" applyProtection="1">
      <alignment horizontal="left"/>
    </xf>
    <xf numFmtId="0" fontId="1" fillId="2" borderId="5" xfId="1" applyFill="1" applyBorder="1" applyAlignment="1" applyProtection="1">
      <alignment horizontal="center"/>
      <protection locked="0"/>
    </xf>
    <xf numFmtId="0" fontId="1" fillId="0" borderId="12" xfId="1" applyBorder="1" applyAlignment="1" applyProtection="1">
      <alignment horizontal="left"/>
    </xf>
    <xf numFmtId="0" fontId="1" fillId="2" borderId="13" xfId="1" applyFont="1" applyFill="1" applyBorder="1" applyAlignment="1" applyProtection="1">
      <alignment horizontal="center"/>
      <protection locked="0"/>
    </xf>
    <xf numFmtId="0" fontId="1" fillId="2" borderId="13" xfId="1" applyFill="1" applyBorder="1" applyAlignment="1" applyProtection="1">
      <alignment horizontal="center"/>
      <protection locked="0"/>
    </xf>
    <xf numFmtId="0" fontId="1" fillId="0" borderId="12" xfId="1" applyFont="1" applyBorder="1" applyAlignment="1" applyProtection="1">
      <alignment horizontal="left"/>
    </xf>
    <xf numFmtId="164" fontId="1" fillId="0" borderId="16" xfId="1" applyNumberFormat="1" applyFont="1" applyBorder="1" applyAlignment="1" applyProtection="1">
      <alignment horizontal="center"/>
    </xf>
    <xf numFmtId="2" fontId="1" fillId="0" borderId="12" xfId="1" applyNumberFormat="1" applyFont="1" applyBorder="1" applyAlignment="1" applyProtection="1">
      <alignment horizontal="left"/>
    </xf>
    <xf numFmtId="0" fontId="1" fillId="0" borderId="2" xfId="1" applyFont="1" applyBorder="1" applyAlignment="1" applyProtection="1">
      <alignment vertical="top"/>
      <protection locked="0"/>
    </xf>
    <xf numFmtId="0" fontId="1" fillId="0" borderId="3" xfId="1" applyBorder="1" applyAlignment="1" applyProtection="1">
      <alignment vertical="top"/>
      <protection locked="0"/>
    </xf>
    <xf numFmtId="0" fontId="1" fillId="0" borderId="8" xfId="1" applyBorder="1" applyAlignment="1" applyProtection="1">
      <alignment vertical="top"/>
      <protection locked="0"/>
    </xf>
    <xf numFmtId="0" fontId="1" fillId="0" borderId="7" xfId="1" applyBorder="1" applyAlignment="1" applyProtection="1">
      <alignment vertical="top"/>
      <protection locked="0"/>
    </xf>
    <xf numFmtId="0" fontId="1" fillId="0" borderId="0" xfId="1" applyBorder="1" applyAlignment="1" applyProtection="1">
      <alignment vertical="top"/>
      <protection locked="0"/>
    </xf>
    <xf numFmtId="0" fontId="1" fillId="0" borderId="9" xfId="1" applyBorder="1" applyAlignment="1" applyProtection="1">
      <alignment vertical="top"/>
      <protection locked="0"/>
    </xf>
    <xf numFmtId="0" fontId="1" fillId="0" borderId="10" xfId="1" applyBorder="1" applyAlignment="1" applyProtection="1">
      <alignment vertical="top"/>
      <protection locked="0"/>
    </xf>
    <xf numFmtId="0" fontId="1" fillId="0" borderId="1" xfId="1" applyBorder="1" applyAlignment="1" applyProtection="1">
      <alignment vertical="top"/>
      <protection locked="0"/>
    </xf>
    <xf numFmtId="0" fontId="1" fillId="0" borderId="11" xfId="1" applyBorder="1" applyAlignment="1" applyProtection="1">
      <alignment vertical="top"/>
      <protection locked="0"/>
    </xf>
    <xf numFmtId="0" fontId="1" fillId="0" borderId="0" xfId="1" applyFont="1" applyFill="1" applyBorder="1" applyAlignment="1" applyProtection="1">
      <alignment horizontal="left"/>
    </xf>
    <xf numFmtId="0" fontId="1" fillId="0" borderId="0" xfId="1" applyFont="1" applyBorder="1" applyAlignment="1" applyProtection="1">
      <alignment horizontal="left"/>
    </xf>
    <xf numFmtId="0" fontId="1" fillId="2" borderId="16" xfId="1" applyFill="1" applyBorder="1" applyAlignment="1" applyProtection="1">
      <alignment horizontal="center"/>
      <protection locked="0"/>
    </xf>
    <xf numFmtId="3" fontId="12" fillId="0" borderId="0" xfId="1" applyNumberFormat="1" applyFont="1" applyBorder="1" applyAlignment="1" applyProtection="1">
      <alignment horizontal="center"/>
    </xf>
    <xf numFmtId="0" fontId="1" fillId="0" borderId="0" xfId="1" applyAlignment="1" applyProtection="1">
      <alignment horizontal="center"/>
    </xf>
    <xf numFmtId="164" fontId="8" fillId="0" borderId="13" xfId="1" applyNumberFormat="1" applyFont="1" applyBorder="1" applyAlignment="1" applyProtection="1">
      <alignment horizontal="center"/>
    </xf>
    <xf numFmtId="0" fontId="8" fillId="0" borderId="0" xfId="1" applyFont="1" applyBorder="1" applyAlignment="1" applyProtection="1">
      <alignment horizontal="center"/>
    </xf>
    <xf numFmtId="0" fontId="21" fillId="0" borderId="12" xfId="1" applyFont="1" applyBorder="1" applyAlignment="1" applyProtection="1">
      <alignment horizontal="center"/>
    </xf>
    <xf numFmtId="0" fontId="1" fillId="2" borderId="12" xfId="1" applyNumberFormat="1" applyFont="1" applyFill="1" applyBorder="1" applyAlignment="1" applyProtection="1">
      <alignment horizontal="center"/>
      <protection locked="0"/>
    </xf>
    <xf numFmtId="2" fontId="1" fillId="0" borderId="4" xfId="1" applyNumberFormat="1" applyFont="1" applyFill="1" applyBorder="1" applyAlignment="1" applyProtection="1">
      <alignment horizontal="center"/>
    </xf>
    <xf numFmtId="2" fontId="1" fillId="0" borderId="5" xfId="1" applyNumberFormat="1" applyFont="1" applyFill="1" applyBorder="1" applyAlignment="1" applyProtection="1">
      <alignment horizontal="center"/>
    </xf>
    <xf numFmtId="2" fontId="1" fillId="0" borderId="6" xfId="1" applyNumberFormat="1" applyFont="1" applyFill="1" applyBorder="1" applyAlignment="1" applyProtection="1">
      <alignment horizontal="center"/>
    </xf>
    <xf numFmtId="2" fontId="1" fillId="2" borderId="12" xfId="1" applyNumberFormat="1" applyFont="1" applyFill="1" applyBorder="1" applyAlignment="1" applyProtection="1">
      <alignment horizontal="center"/>
      <protection locked="0"/>
    </xf>
    <xf numFmtId="164" fontId="8" fillId="0" borderId="0" xfId="1" applyNumberFormat="1" applyFont="1" applyBorder="1" applyAlignment="1" applyProtection="1">
      <alignment horizontal="center"/>
    </xf>
    <xf numFmtId="2" fontId="1" fillId="2" borderId="14" xfId="1" applyNumberFormat="1" applyFont="1" applyFill="1" applyBorder="1" applyAlignment="1" applyProtection="1">
      <alignment horizontal="center"/>
      <protection locked="0"/>
    </xf>
    <xf numFmtId="0" fontId="21" fillId="0" borderId="4" xfId="1" applyFont="1" applyBorder="1" applyAlignment="1" applyProtection="1">
      <alignment horizontal="center"/>
    </xf>
    <xf numFmtId="0" fontId="21" fillId="0" borderId="5" xfId="1" applyFont="1" applyBorder="1" applyAlignment="1" applyProtection="1">
      <alignment horizontal="center"/>
    </xf>
    <xf numFmtId="0" fontId="21" fillId="0" borderId="6" xfId="1" applyFont="1" applyBorder="1" applyAlignment="1" applyProtection="1">
      <alignment horizontal="center"/>
    </xf>
    <xf numFmtId="1" fontId="1" fillId="2" borderId="17" xfId="1" applyNumberFormat="1" applyFont="1" applyFill="1" applyBorder="1" applyAlignment="1" applyProtection="1">
      <alignment horizontal="center"/>
    </xf>
    <xf numFmtId="1" fontId="1" fillId="2" borderId="18" xfId="1" applyNumberFormat="1" applyFont="1" applyFill="1" applyBorder="1" applyAlignment="1" applyProtection="1">
      <alignment horizontal="center"/>
    </xf>
    <xf numFmtId="1" fontId="1" fillId="2" borderId="19" xfId="1" applyNumberFormat="1" applyFont="1" applyFill="1" applyBorder="1" applyAlignment="1" applyProtection="1">
      <alignment horizontal="center"/>
    </xf>
    <xf numFmtId="0" fontId="8" fillId="0" borderId="1" xfId="1" applyFont="1" applyBorder="1" applyAlignment="1" applyProtection="1">
      <alignment horizontal="center"/>
    </xf>
    <xf numFmtId="164" fontId="1" fillId="2" borderId="12" xfId="1" applyNumberFormat="1" applyFont="1" applyFill="1" applyBorder="1" applyAlignment="1" applyProtection="1">
      <alignment horizontal="center"/>
      <protection locked="0"/>
    </xf>
    <xf numFmtId="2" fontId="1" fillId="2" borderId="4" xfId="1" applyNumberFormat="1" applyFont="1" applyFill="1" applyBorder="1" applyAlignment="1" applyProtection="1">
      <alignment horizontal="center"/>
      <protection locked="0"/>
    </xf>
    <xf numFmtId="2" fontId="1" fillId="2" borderId="5" xfId="1" applyNumberFormat="1" applyFont="1" applyFill="1" applyBorder="1" applyAlignment="1" applyProtection="1">
      <alignment horizontal="center"/>
      <protection locked="0"/>
    </xf>
    <xf numFmtId="2" fontId="1" fillId="2" borderId="6" xfId="1" applyNumberFormat="1" applyFont="1" applyFill="1" applyBorder="1" applyAlignment="1" applyProtection="1">
      <alignment horizontal="center"/>
      <protection locked="0"/>
    </xf>
    <xf numFmtId="2" fontId="8" fillId="0" borderId="13" xfId="1" applyNumberFormat="1" applyFont="1" applyBorder="1" applyAlignment="1" applyProtection="1">
      <alignment horizontal="center"/>
    </xf>
    <xf numFmtId="1" fontId="8" fillId="0" borderId="0" xfId="1" applyNumberFormat="1" applyFont="1" applyBorder="1" applyAlignment="1" applyProtection="1">
      <alignment horizontal="center"/>
    </xf>
    <xf numFmtId="0" fontId="8" fillId="0" borderId="13" xfId="1" applyFont="1" applyBorder="1" applyAlignment="1" applyProtection="1">
      <alignment horizontal="left"/>
    </xf>
    <xf numFmtId="0" fontId="1" fillId="2" borderId="12" xfId="1" applyFont="1" applyFill="1" applyBorder="1" applyAlignment="1" applyProtection="1">
      <alignment horizontal="center"/>
      <protection locked="0"/>
    </xf>
    <xf numFmtId="164" fontId="8" fillId="0" borderId="0" xfId="1" applyNumberFormat="1" applyFont="1" applyFill="1" applyBorder="1" applyAlignment="1" applyProtection="1">
      <alignment horizontal="center"/>
    </xf>
    <xf numFmtId="0" fontId="1" fillId="0" borderId="2" xfId="1" applyFont="1" applyBorder="1" applyAlignment="1" applyProtection="1">
      <alignment horizontal="left" vertical="top" wrapText="1"/>
      <protection locked="0"/>
    </xf>
    <xf numFmtId="0" fontId="1" fillId="0" borderId="3" xfId="1" applyFont="1" applyBorder="1" applyAlignment="1" applyProtection="1">
      <alignment horizontal="left" vertical="top" wrapText="1"/>
      <protection locked="0"/>
    </xf>
    <xf numFmtId="0" fontId="1" fillId="0" borderId="8" xfId="1" applyFont="1" applyBorder="1" applyAlignment="1" applyProtection="1">
      <alignment horizontal="left" vertical="top" wrapText="1"/>
      <protection locked="0"/>
    </xf>
    <xf numFmtId="0" fontId="1" fillId="0" borderId="7" xfId="1" applyFont="1" applyBorder="1" applyAlignment="1" applyProtection="1">
      <alignment horizontal="left" vertical="top" wrapText="1"/>
      <protection locked="0"/>
    </xf>
    <xf numFmtId="0" fontId="1" fillId="0" borderId="0" xfId="1" applyFont="1" applyBorder="1" applyAlignment="1" applyProtection="1">
      <alignment horizontal="left" vertical="top" wrapText="1"/>
      <protection locked="0"/>
    </xf>
    <xf numFmtId="0" fontId="1" fillId="0" borderId="9" xfId="1" applyFont="1" applyBorder="1" applyAlignment="1" applyProtection="1">
      <alignment horizontal="left" vertical="top" wrapText="1"/>
      <protection locked="0"/>
    </xf>
    <xf numFmtId="0" fontId="1" fillId="0" borderId="10" xfId="1" applyFont="1" applyBorder="1" applyAlignment="1" applyProtection="1">
      <alignment horizontal="left" vertical="top" wrapText="1"/>
      <protection locked="0"/>
    </xf>
    <xf numFmtId="0" fontId="1" fillId="0" borderId="1" xfId="1" applyFont="1" applyBorder="1" applyAlignment="1" applyProtection="1">
      <alignment horizontal="left" vertical="top" wrapText="1"/>
      <protection locked="0"/>
    </xf>
    <xf numFmtId="0" fontId="1" fillId="0" borderId="11" xfId="1" applyFont="1" applyBorder="1" applyAlignment="1" applyProtection="1">
      <alignment horizontal="left" vertical="top" wrapText="1"/>
      <protection locked="0"/>
    </xf>
    <xf numFmtId="14" fontId="1" fillId="2" borderId="13" xfId="1" applyNumberFormat="1" applyFill="1" applyBorder="1" applyAlignment="1" applyProtection="1">
      <alignment horizontal="center" vertical="center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0" fontId="1" fillId="0" borderId="0" xfId="1" applyFill="1" applyBorder="1" applyAlignment="1" applyProtection="1">
      <alignment horizontal="center" vertical="center"/>
      <protection locked="0"/>
    </xf>
    <xf numFmtId="14" fontId="14" fillId="0" borderId="1" xfId="1" applyNumberFormat="1" applyFont="1" applyBorder="1" applyAlignment="1" applyProtection="1">
      <alignment horizontal="right"/>
    </xf>
    <xf numFmtId="0" fontId="23" fillId="0" borderId="0" xfId="1" applyFont="1" applyFill="1" applyBorder="1" applyAlignment="1" applyProtection="1">
      <alignment horizontal="left"/>
    </xf>
    <xf numFmtId="0" fontId="24" fillId="0" borderId="0" xfId="1" applyFont="1" applyFill="1" applyBorder="1" applyAlignment="1" applyProtection="1">
      <alignment horizontal="left"/>
    </xf>
    <xf numFmtId="0" fontId="23" fillId="0" borderId="0" xfId="1" applyFont="1" applyBorder="1" applyProtection="1"/>
    <xf numFmtId="0" fontId="23" fillId="0" borderId="0" xfId="1" applyFont="1" applyFill="1" applyBorder="1" applyProtection="1"/>
  </cellXfs>
  <cellStyles count="2">
    <cellStyle name="Normal 2" xfId="1" xr:uid="{00000000-0005-0000-0000-000000000000}"/>
    <cellStyle name="Normale" xfId="0" builtinId="0"/>
  </cellStyles>
  <dxfs count="1"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$BC$9" fmlaRange="$BD$10:$BD$38" noThreeD="1" sel="1" val="0"/>
</file>

<file path=xl/ctrlProps/ctrlProp2.xml><?xml version="1.0" encoding="utf-8"?>
<formControlPr xmlns="http://schemas.microsoft.com/office/spreadsheetml/2009/9/main" objectType="Drop" dropStyle="combo" dx="16" fmlaRange="$AZ$43:$AZ$48" noThreeD="1" sel="2" val="0"/>
</file>

<file path=xl/ctrlProps/ctrlProp3.xml><?xml version="1.0" encoding="utf-8"?>
<formControlPr xmlns="http://schemas.microsoft.com/office/spreadsheetml/2009/9/main" objectType="Drop" dropStyle="combo" dx="16" fmlaLink="$BH$9" fmlaRange="$BI$10:$BI$20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61394</xdr:colOff>
      <xdr:row>31</xdr:row>
      <xdr:rowOff>121706</xdr:rowOff>
    </xdr:from>
    <xdr:to>
      <xdr:col>44</xdr:col>
      <xdr:colOff>175694</xdr:colOff>
      <xdr:row>34</xdr:row>
      <xdr:rowOff>150281</xdr:rowOff>
    </xdr:to>
    <xdr:sp macro="" textlink="">
      <xdr:nvSpPr>
        <xdr:cNvPr id="2" name="Text Box 1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72727" y="6672789"/>
          <a:ext cx="2400300" cy="727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08000" tIns="22860" rIns="0" bIns="0" anchor="t" upright="1"/>
        <a:lstStyle/>
        <a:p>
          <a:pPr algn="l" rtl="0">
            <a:defRPr sz="1000"/>
          </a:pPr>
          <a:r>
            <a:rPr lang="it-it" sz="1000" strike="noStrike">
              <a:solidFill>
                <a:srgbClr val="000000"/>
              </a:solidFill>
              <a:latin typeface="Arial"/>
              <a:cs typeface="Arial"/>
            </a:rPr>
            <a:t>Colpo di ariete non calcolato:</a:t>
          </a:r>
        </a:p>
        <a:p>
          <a:pPr algn="l" rtl="0">
            <a:defRPr sz="1000"/>
          </a:pPr>
          <a:r>
            <a:rPr lang="it-it" sz="1000" strike="noStrike">
              <a:solidFill>
                <a:srgbClr val="000000"/>
              </a:solidFill>
              <a:latin typeface="Arial"/>
              <a:cs typeface="Arial"/>
            </a:rPr>
            <a:t>MPD</a:t>
          </a:r>
          <a:r>
            <a:rPr lang="it-it" sz="1050" baseline="-25000">
              <a:latin typeface="Arial" pitchFamily="34" charset="0"/>
              <a:ea typeface="+mn-ea"/>
              <a:cs typeface="Arial" pitchFamily="34" charset="0"/>
            </a:rPr>
            <a:t>a</a:t>
          </a:r>
          <a:r>
            <a:rPr lang="it-it" sz="1000" strike="noStrike">
              <a:solidFill>
                <a:srgbClr val="000000"/>
              </a:solidFill>
              <a:latin typeface="Arial"/>
              <a:cs typeface="Arial"/>
            </a:rPr>
            <a:t> = DP + 2 bar</a:t>
          </a:r>
        </a:p>
        <a:p>
          <a:pPr algn="l" rtl="0">
            <a:defRPr sz="1000"/>
          </a:pPr>
          <a:r>
            <a:rPr lang="it-it" sz="1000" strike="noStrike">
              <a:solidFill>
                <a:srgbClr val="000000"/>
              </a:solidFill>
              <a:latin typeface="Arial"/>
              <a:cs typeface="Arial"/>
            </a:rPr>
            <a:t>STP = MIN (MDP</a:t>
          </a:r>
          <a:r>
            <a:rPr lang="it-it" sz="1000" strike="noStrike" baseline="-25000">
              <a:solidFill>
                <a:srgbClr val="000000"/>
              </a:solidFill>
              <a:latin typeface="Arial"/>
              <a:cs typeface="Arial"/>
            </a:rPr>
            <a:t>a</a:t>
          </a:r>
          <a:r>
            <a:rPr lang="it-it" sz="100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1000" strike="noStrike">
              <a:solidFill>
                <a:srgbClr val="000000"/>
              </a:solidFill>
              <a:latin typeface="Arial"/>
              <a:cs typeface="Arial"/>
              <a:sym typeface="Symbol"/>
            </a:rPr>
            <a:t>*</a:t>
          </a:r>
          <a:r>
            <a:rPr lang="it-it" sz="1000" strike="noStrike">
              <a:solidFill>
                <a:srgbClr val="000000"/>
              </a:solidFill>
              <a:latin typeface="Arial"/>
              <a:cs typeface="Arial"/>
            </a:rPr>
            <a:t> 1.5 ; MDP</a:t>
          </a:r>
          <a:r>
            <a:rPr lang="it-it" sz="1000" strike="noStrike" baseline="-25000">
              <a:solidFill>
                <a:srgbClr val="000000"/>
              </a:solidFill>
              <a:latin typeface="Arial"/>
              <a:cs typeface="Arial"/>
            </a:rPr>
            <a:t>a</a:t>
          </a:r>
          <a:r>
            <a:rPr lang="it-it" sz="1000" strike="noStrike">
              <a:solidFill>
                <a:srgbClr val="000000"/>
              </a:solidFill>
              <a:latin typeface="Arial"/>
              <a:cs typeface="Arial"/>
            </a:rPr>
            <a:t> + 5 bar)</a:t>
          </a:r>
        </a:p>
        <a:p>
          <a:pPr algn="l" rtl="0">
            <a:defRPr sz="1000"/>
          </a:pPr>
          <a:r>
            <a:rPr lang="it-it" sz="1000" strike="noStrike">
              <a:solidFill>
                <a:srgbClr val="000000"/>
              </a:solidFill>
              <a:latin typeface="Arial"/>
              <a:cs typeface="Arial"/>
            </a:rPr>
            <a:t>STP min = 10 bar</a:t>
          </a:r>
        </a:p>
      </xdr:txBody>
    </xdr:sp>
    <xdr:clientData/>
  </xdr:twoCellAnchor>
  <xdr:twoCellAnchor>
    <xdr:from>
      <xdr:col>32</xdr:col>
      <xdr:colOff>63511</xdr:colOff>
      <xdr:row>34</xdr:row>
      <xdr:rowOff>210606</xdr:rowOff>
    </xdr:from>
    <xdr:to>
      <xdr:col>44</xdr:col>
      <xdr:colOff>175694</xdr:colOff>
      <xdr:row>38</xdr:row>
      <xdr:rowOff>53972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074844" y="7460189"/>
          <a:ext cx="2398183" cy="774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08000" tIns="22860" rIns="0" bIns="0" anchor="t" upright="1"/>
        <a:lstStyle/>
        <a:p>
          <a:pPr algn="l" rtl="0">
            <a:defRPr sz="1000"/>
          </a:pPr>
          <a:r>
            <a:rPr lang="it-it" sz="1000" strike="noStrike">
              <a:solidFill>
                <a:srgbClr val="000000"/>
              </a:solidFill>
              <a:latin typeface="Arial"/>
              <a:cs typeface="Arial"/>
            </a:rPr>
            <a:t>Colpo di ariete calcolato:</a:t>
          </a:r>
        </a:p>
        <a:p>
          <a:pPr algn="l" rtl="0">
            <a:defRPr sz="1000"/>
          </a:pPr>
          <a:r>
            <a:rPr lang="it-it" sz="1000" strike="noStrike">
              <a:solidFill>
                <a:srgbClr val="000000"/>
              </a:solidFill>
              <a:latin typeface="Arial"/>
              <a:cs typeface="Arial"/>
            </a:rPr>
            <a:t>MDP</a:t>
          </a:r>
          <a:r>
            <a:rPr lang="it-it" sz="1000" strike="noStrike" baseline="-25000">
              <a:solidFill>
                <a:srgbClr val="000000"/>
              </a:solidFill>
              <a:latin typeface="Arial"/>
              <a:cs typeface="Arial"/>
            </a:rPr>
            <a:t>c</a:t>
          </a:r>
          <a:r>
            <a:rPr lang="it-it" sz="1000" strike="noStrike">
              <a:solidFill>
                <a:srgbClr val="000000"/>
              </a:solidFill>
              <a:latin typeface="Arial"/>
              <a:cs typeface="Arial"/>
            </a:rPr>
            <a:t> = DP + colpo di ariete</a:t>
          </a:r>
        </a:p>
        <a:p>
          <a:pPr algn="l" rtl="0">
            <a:defRPr sz="1000"/>
          </a:pPr>
          <a:r>
            <a:rPr lang="it-it" sz="1000" strike="noStrike">
              <a:solidFill>
                <a:srgbClr val="000000"/>
              </a:solidFill>
              <a:latin typeface="Arial"/>
              <a:cs typeface="Arial"/>
            </a:rPr>
            <a:t>STP = MDP</a:t>
          </a:r>
          <a:r>
            <a:rPr lang="it-it" sz="1000" strike="noStrike" baseline="-25000">
              <a:solidFill>
                <a:srgbClr val="000000"/>
              </a:solidFill>
              <a:latin typeface="Arial"/>
              <a:cs typeface="Arial"/>
            </a:rPr>
            <a:t>c </a:t>
          </a:r>
          <a:r>
            <a:rPr lang="it-it" sz="1000" strike="noStrike">
              <a:solidFill>
                <a:srgbClr val="000000"/>
              </a:solidFill>
              <a:latin typeface="Arial"/>
              <a:cs typeface="Arial"/>
            </a:rPr>
            <a:t> + 1 bar</a:t>
          </a:r>
        </a:p>
        <a:p>
          <a:pPr algn="l" rtl="0">
            <a:defRPr sz="1000"/>
          </a:pPr>
          <a:r>
            <a:rPr lang="it-it" sz="1000" strike="noStrike">
              <a:solidFill>
                <a:srgbClr val="000000"/>
              </a:solidFill>
              <a:latin typeface="Arial"/>
              <a:cs typeface="Arial"/>
            </a:rPr>
            <a:t>STP min = 10 bar</a:t>
          </a:r>
        </a:p>
      </xdr:txBody>
    </xdr:sp>
    <xdr:clientData/>
  </xdr:twoCellAnchor>
  <xdr:twoCellAnchor>
    <xdr:from>
      <xdr:col>32</xdr:col>
      <xdr:colOff>60336</xdr:colOff>
      <xdr:row>38</xdr:row>
      <xdr:rowOff>122764</xdr:rowOff>
    </xdr:from>
    <xdr:to>
      <xdr:col>44</xdr:col>
      <xdr:colOff>165111</xdr:colOff>
      <xdr:row>39</xdr:row>
      <xdr:rowOff>70906</xdr:rowOff>
    </xdr:to>
    <xdr:sp macro="" textlink="">
      <xdr:nvSpPr>
        <xdr:cNvPr id="4" name="Text Box 1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071669" y="8303681"/>
          <a:ext cx="23907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08000" tIns="22860" rIns="0" bIns="0" anchor="t" upright="1"/>
        <a:lstStyle/>
        <a:p>
          <a:pPr algn="l" rtl="0">
            <a:defRPr sz="1000"/>
          </a:pPr>
          <a:r>
            <a:rPr lang="it-it" sz="1000" strike="noStrike">
              <a:solidFill>
                <a:srgbClr val="000000"/>
              </a:solidFill>
              <a:latin typeface="Arial"/>
              <a:cs typeface="Arial"/>
            </a:rPr>
            <a:t>Per PE S8, STP max = 12 bar</a:t>
          </a:r>
        </a:p>
      </xdr:txBody>
    </xdr:sp>
    <xdr:clientData/>
  </xdr:twoCellAnchor>
  <xdr:twoCellAnchor>
    <xdr:from>
      <xdr:col>25</xdr:col>
      <xdr:colOff>171449</xdr:colOff>
      <xdr:row>25</xdr:row>
      <xdr:rowOff>200025</xdr:rowOff>
    </xdr:from>
    <xdr:to>
      <xdr:col>45</xdr:col>
      <xdr:colOff>127000</xdr:colOff>
      <xdr:row>27</xdr:row>
      <xdr:rowOff>85725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849282" y="5354108"/>
          <a:ext cx="3765551" cy="3513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08000" tIns="108000" rIns="0" bIns="0" anchor="t" upright="1"/>
        <a:lstStyle/>
        <a:p>
          <a:pPr algn="l" rtl="0">
            <a:defRPr sz="1000"/>
          </a:pPr>
          <a:r>
            <a:rPr lang="it-it" sz="1000" strike="noStrike">
              <a:solidFill>
                <a:srgbClr val="000000"/>
              </a:solidFill>
              <a:latin typeface="Arial"/>
              <a:cs typeface="Arial"/>
            </a:rPr>
            <a:t>ΔV</a:t>
          </a:r>
          <a:r>
            <a:rPr lang="it-it" sz="1000" strike="noStrike" baseline="-25000">
              <a:solidFill>
                <a:srgbClr val="000000"/>
              </a:solidFill>
              <a:latin typeface="Arial"/>
              <a:cs typeface="Arial"/>
            </a:rPr>
            <a:t>amm</a:t>
          </a:r>
          <a:r>
            <a:rPr lang="it-it" sz="1000" strike="noStrike">
              <a:solidFill>
                <a:srgbClr val="000000"/>
              </a:solidFill>
              <a:latin typeface="Arial"/>
              <a:cs typeface="Arial"/>
            </a:rPr>
            <a:t> = 0.1 </a:t>
          </a:r>
          <a:r>
            <a:rPr lang="it-it" sz="1000" strike="noStrike">
              <a:solidFill>
                <a:srgbClr val="000000"/>
              </a:solidFill>
              <a:latin typeface="Arial"/>
              <a:cs typeface="Arial"/>
              <a:sym typeface="Symbol"/>
            </a:rPr>
            <a:t>*</a:t>
          </a:r>
          <a:r>
            <a:rPr lang="it-it" sz="1000" strike="noStrike">
              <a:solidFill>
                <a:srgbClr val="000000"/>
              </a:solidFill>
              <a:latin typeface="Arial"/>
              <a:cs typeface="Arial"/>
            </a:rPr>
            <a:t> f </a:t>
          </a:r>
          <a:r>
            <a:rPr lang="it-it" sz="1000" strike="noStrike">
              <a:solidFill>
                <a:srgbClr val="000000"/>
              </a:solidFill>
              <a:latin typeface="Arial"/>
              <a:cs typeface="Arial"/>
              <a:sym typeface="Symbol"/>
            </a:rPr>
            <a:t>*</a:t>
          </a:r>
          <a:r>
            <a:rPr lang="it-it" sz="1000" strike="noStrike">
              <a:solidFill>
                <a:srgbClr val="000000"/>
              </a:solidFill>
              <a:latin typeface="Arial"/>
              <a:cs typeface="Arial"/>
            </a:rPr>
            <a:t>(π </a:t>
          </a:r>
          <a:r>
            <a:rPr lang="it-it" sz="1000" strike="noStrike">
              <a:solidFill>
                <a:srgbClr val="000000"/>
              </a:solidFill>
              <a:latin typeface="Arial"/>
              <a:cs typeface="Arial"/>
              <a:sym typeface="Symbol"/>
            </a:rPr>
            <a:t>* </a:t>
          </a:r>
          <a:r>
            <a:rPr lang="it-it" sz="1000" strike="noStrike">
              <a:solidFill>
                <a:srgbClr val="000000"/>
              </a:solidFill>
              <a:latin typeface="Arial"/>
              <a:cs typeface="Arial"/>
            </a:rPr>
            <a:t>ID</a:t>
          </a:r>
          <a:r>
            <a:rPr lang="it-it" sz="1000" strike="noStrike" baseline="30000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it-it" sz="100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1000" strike="noStrike">
              <a:solidFill>
                <a:srgbClr val="000000"/>
              </a:solidFill>
              <a:latin typeface="Arial"/>
              <a:cs typeface="Arial"/>
              <a:sym typeface="Symbol"/>
            </a:rPr>
            <a:t>*</a:t>
          </a:r>
          <a:r>
            <a:rPr lang="it-it" sz="1000" strike="noStrike">
              <a:solidFill>
                <a:srgbClr val="000000"/>
              </a:solidFill>
              <a:latin typeface="Arial"/>
              <a:cs typeface="Arial"/>
            </a:rPr>
            <a:t> L) / 4 </a:t>
          </a:r>
          <a:r>
            <a:rPr lang="it-it" sz="1000" strike="noStrike">
              <a:solidFill>
                <a:srgbClr val="000000"/>
              </a:solidFill>
              <a:latin typeface="Arial"/>
              <a:cs typeface="Arial"/>
              <a:sym typeface="Symbol"/>
            </a:rPr>
            <a:t>* </a:t>
          </a:r>
          <a:r>
            <a:rPr lang="it-it" sz="1000" strike="noStrike">
              <a:solidFill>
                <a:srgbClr val="000000"/>
              </a:solidFill>
              <a:latin typeface="Arial"/>
              <a:cs typeface="Arial"/>
            </a:rPr>
            <a:t>Δp</a:t>
          </a:r>
          <a:r>
            <a:rPr lang="it-it" sz="1000" strike="noStrike" baseline="-25000">
              <a:solidFill>
                <a:srgbClr val="000000"/>
              </a:solidFill>
              <a:latin typeface="Arial"/>
              <a:cs typeface="Arial"/>
            </a:rPr>
            <a:t>amm</a:t>
          </a:r>
          <a:r>
            <a:rPr lang="it-it" sz="1000" strike="noStrike">
              <a:solidFill>
                <a:srgbClr val="000000"/>
              </a:solidFill>
              <a:latin typeface="Arial"/>
              <a:cs typeface="Arial"/>
              <a:sym typeface="Symbol"/>
            </a:rPr>
            <a:t>*</a:t>
          </a:r>
          <a:r>
            <a:rPr lang="it-it" sz="1000" strike="noStrike">
              <a:solidFill>
                <a:srgbClr val="000000"/>
              </a:solidFill>
              <a:latin typeface="Arial"/>
              <a:cs typeface="Arial"/>
            </a:rPr>
            <a:t> (1/K</a:t>
          </a:r>
          <a:r>
            <a:rPr lang="it-it" sz="1000" strike="noStrike" baseline="-25000">
              <a:solidFill>
                <a:srgbClr val="000000"/>
              </a:solidFill>
              <a:latin typeface="Arial"/>
              <a:cs typeface="Arial"/>
            </a:rPr>
            <a:t>w</a:t>
          </a:r>
          <a:r>
            <a:rPr lang="it-it" sz="1000" strike="noStrike">
              <a:solidFill>
                <a:srgbClr val="000000"/>
              </a:solidFill>
              <a:latin typeface="Arial"/>
              <a:cs typeface="Arial"/>
            </a:rPr>
            <a:t> + ID / (E</a:t>
          </a:r>
          <a:r>
            <a:rPr lang="it-it" sz="1000" strike="noStrike" baseline="-25000">
              <a:solidFill>
                <a:srgbClr val="000000"/>
              </a:solidFill>
              <a:latin typeface="Arial"/>
              <a:cs typeface="Arial"/>
            </a:rPr>
            <a:t>R </a:t>
          </a:r>
          <a:r>
            <a:rPr lang="it-it" sz="1000" strike="noStrike">
              <a:solidFill>
                <a:srgbClr val="000000"/>
              </a:solidFill>
              <a:latin typeface="Arial"/>
              <a:cs typeface="Arial"/>
              <a:sym typeface="Symbol"/>
            </a:rPr>
            <a:t>* s))</a:t>
          </a:r>
          <a:endParaRPr lang="fr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2</xdr:col>
      <xdr:colOff>19050</xdr:colOff>
      <xdr:row>2</xdr:row>
      <xdr:rowOff>19050</xdr:rowOff>
    </xdr:from>
    <xdr:to>
      <xdr:col>6</xdr:col>
      <xdr:colOff>159417</xdr:colOff>
      <xdr:row>3</xdr:row>
      <xdr:rowOff>121920</xdr:rowOff>
    </xdr:to>
    <xdr:pic>
      <xdr:nvPicPr>
        <xdr:cNvPr id="7" name="Grafik 6" descr="SVGW-Logo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342900"/>
          <a:ext cx="902367" cy="36957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20</xdr:row>
          <xdr:rowOff>19050</xdr:rowOff>
        </xdr:from>
        <xdr:to>
          <xdr:col>14</xdr:col>
          <xdr:colOff>171450</xdr:colOff>
          <xdr:row>20</xdr:row>
          <xdr:rowOff>219075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14</xdr:row>
          <xdr:rowOff>9525</xdr:rowOff>
        </xdr:from>
        <xdr:to>
          <xdr:col>33</xdr:col>
          <xdr:colOff>9525</xdr:colOff>
          <xdr:row>14</xdr:row>
          <xdr:rowOff>209550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18</xdr:row>
          <xdr:rowOff>9525</xdr:rowOff>
        </xdr:from>
        <xdr:to>
          <xdr:col>18</xdr:col>
          <xdr:colOff>28575</xdr:colOff>
          <xdr:row>18</xdr:row>
          <xdr:rowOff>219075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Z97"/>
  <sheetViews>
    <sheetView tabSelected="1" zoomScale="140" zoomScaleNormal="140" workbookViewId="0">
      <selection activeCell="AC19" sqref="AC19:AC25"/>
    </sheetView>
  </sheetViews>
  <sheetFormatPr defaultColWidth="11.42578125" defaultRowHeight="12.75"/>
  <cols>
    <col min="1" max="1" width="3.7109375" style="1" customWidth="1"/>
    <col min="2" max="2" width="0.85546875" style="1" customWidth="1"/>
    <col min="3" max="27" width="2.85546875" style="1" customWidth="1"/>
    <col min="28" max="28" width="2.85546875" style="14" customWidth="1"/>
    <col min="29" max="47" width="2.85546875" style="1" customWidth="1"/>
    <col min="48" max="48" width="0.85546875" style="1" customWidth="1"/>
    <col min="49" max="50" width="3.7109375" style="2" customWidth="1"/>
    <col min="51" max="51" width="46.140625" style="1" customWidth="1"/>
    <col min="52" max="55" width="11.42578125" style="1"/>
    <col min="56" max="56" width="14.140625" style="1" customWidth="1"/>
    <col min="57" max="57" width="4" style="1" customWidth="1"/>
    <col min="58" max="58" width="5.5703125" style="1" customWidth="1"/>
    <col min="59" max="59" width="22.28515625" style="1" customWidth="1"/>
    <col min="60" max="60" width="6.42578125" style="1" customWidth="1"/>
    <col min="61" max="61" width="28.42578125" style="1" customWidth="1"/>
    <col min="62" max="62" width="7.140625" style="1" bestFit="1" customWidth="1"/>
    <col min="63" max="63" width="11.140625" style="1" customWidth="1"/>
    <col min="64" max="64" width="8" style="1" customWidth="1"/>
    <col min="65" max="65" width="29.85546875" style="1" customWidth="1"/>
    <col min="66" max="66" width="21" style="1" bestFit="1" customWidth="1"/>
    <col min="67" max="67" width="15.7109375" style="1" bestFit="1" customWidth="1"/>
    <col min="68" max="68" width="13.140625" style="1" bestFit="1" customWidth="1"/>
    <col min="69" max="69" width="7" style="1" bestFit="1" customWidth="1"/>
    <col min="70" max="70" width="5" style="1" bestFit="1" customWidth="1"/>
    <col min="71" max="71" width="14.28515625" style="1" customWidth="1"/>
    <col min="72" max="72" width="22.42578125" style="1" bestFit="1" customWidth="1"/>
    <col min="73" max="73" width="7.85546875" style="1" customWidth="1"/>
    <col min="74" max="16384" width="11.42578125" style="1"/>
  </cols>
  <sheetData>
    <row r="1" spans="2:78"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1"/>
      <c r="S1" s="172"/>
      <c r="T1" s="172"/>
      <c r="U1" s="172"/>
      <c r="V1" s="172"/>
      <c r="W1" s="172"/>
      <c r="X1" s="172"/>
      <c r="Y1" s="172"/>
      <c r="Z1" s="172"/>
      <c r="AA1" s="172"/>
      <c r="AB1" s="173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</row>
    <row r="2" spans="2:78">
      <c r="AB2" s="3"/>
    </row>
    <row r="3" spans="2:78" ht="21" customHeight="1">
      <c r="B3" s="4"/>
      <c r="C3" s="5"/>
      <c r="D3" s="5"/>
      <c r="E3" s="5"/>
      <c r="F3" s="5"/>
      <c r="G3" s="161"/>
      <c r="H3" s="164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6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5"/>
      <c r="AN3" s="5"/>
      <c r="AO3" s="163"/>
      <c r="AP3" s="176" t="s">
        <v>143</v>
      </c>
      <c r="AQ3" s="177"/>
      <c r="AR3" s="177"/>
      <c r="AS3" s="177"/>
      <c r="AT3" s="177"/>
      <c r="AU3" s="177"/>
      <c r="AV3" s="161"/>
      <c r="AW3" s="1"/>
      <c r="AX3" s="1"/>
    </row>
    <row r="4" spans="2:78" ht="12" customHeight="1">
      <c r="B4" s="165"/>
      <c r="C4" s="166"/>
      <c r="D4" s="166"/>
      <c r="E4" s="166"/>
      <c r="F4" s="166"/>
      <c r="G4" s="167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9" t="s">
        <v>144</v>
      </c>
      <c r="AQ4" s="180"/>
      <c r="AR4" s="180"/>
      <c r="AS4" s="180"/>
      <c r="AT4" s="180"/>
      <c r="AU4" s="180"/>
      <c r="AV4" s="7"/>
      <c r="AW4" s="1"/>
      <c r="AX4" s="1"/>
    </row>
    <row r="5" spans="2:78" ht="9.9499999999999993" customHeight="1">
      <c r="B5" s="4"/>
      <c r="C5" s="5"/>
      <c r="D5" s="5"/>
      <c r="E5" s="5"/>
      <c r="F5" s="5"/>
      <c r="G5" s="161"/>
      <c r="H5" s="181" t="s">
        <v>133</v>
      </c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3"/>
      <c r="AP5" s="187"/>
      <c r="AQ5" s="188"/>
      <c r="AR5" s="188"/>
      <c r="AS5" s="188"/>
      <c r="AT5" s="188"/>
      <c r="AU5" s="188"/>
      <c r="AV5" s="10"/>
      <c r="AW5" s="1"/>
      <c r="AX5" s="1"/>
    </row>
    <row r="6" spans="2:78" ht="21.75" customHeight="1">
      <c r="B6" s="8"/>
      <c r="C6" s="9"/>
      <c r="D6" s="9"/>
      <c r="E6" s="9"/>
      <c r="F6" s="9"/>
      <c r="G6" s="9"/>
      <c r="H6" s="184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6"/>
      <c r="AP6" s="189"/>
      <c r="AQ6" s="190"/>
      <c r="AR6" s="190"/>
      <c r="AS6" s="190"/>
      <c r="AT6" s="190"/>
      <c r="AU6" s="190"/>
      <c r="AV6" s="191"/>
      <c r="AW6" s="1"/>
      <c r="AX6" s="1"/>
      <c r="BD6" s="11" t="s">
        <v>85</v>
      </c>
      <c r="BI6" s="1">
        <f>INDEX(BI10:BI20,BH9)</f>
        <v>0</v>
      </c>
    </row>
    <row r="7" spans="2:78" ht="3.95" customHeight="1">
      <c r="B7" s="8"/>
      <c r="C7" s="9"/>
      <c r="D7" s="9"/>
      <c r="E7" s="9"/>
      <c r="F7" s="9"/>
      <c r="G7" s="9"/>
      <c r="H7" s="168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70"/>
      <c r="AP7" s="9"/>
      <c r="AQ7" s="9"/>
      <c r="AR7" s="9"/>
      <c r="AS7" s="9"/>
      <c r="AT7" s="9"/>
      <c r="AU7" s="9"/>
      <c r="AV7" s="10"/>
      <c r="AW7" s="1"/>
      <c r="AX7" s="1"/>
    </row>
    <row r="8" spans="2:78" ht="6.95" customHeight="1"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5"/>
    </row>
    <row r="9" spans="2:78" ht="18" customHeight="1">
      <c r="B9" s="16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93" t="s">
        <v>86</v>
      </c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7"/>
      <c r="AY9" s="2"/>
      <c r="AZ9" s="18"/>
      <c r="BC9" s="19">
        <v>1</v>
      </c>
      <c r="BD9" s="11">
        <f>INDEX(BD10:BD38,BC9)</f>
        <v>0</v>
      </c>
      <c r="BE9" s="20"/>
      <c r="BG9" s="20"/>
      <c r="BH9" s="21">
        <v>1</v>
      </c>
      <c r="BI9" s="22" t="s">
        <v>40</v>
      </c>
      <c r="BJ9" s="23" t="s">
        <v>122</v>
      </c>
      <c r="BK9" s="24" t="s">
        <v>123</v>
      </c>
      <c r="BL9" s="24" t="s">
        <v>124</v>
      </c>
      <c r="BM9" s="24" t="s">
        <v>145</v>
      </c>
      <c r="BN9" s="24" t="s">
        <v>146</v>
      </c>
      <c r="BO9" s="25" t="s">
        <v>125</v>
      </c>
      <c r="BP9" s="24" t="s">
        <v>126</v>
      </c>
      <c r="BQ9" s="26" t="s">
        <v>127</v>
      </c>
      <c r="BR9" s="25" t="s">
        <v>0</v>
      </c>
      <c r="BS9" s="25" t="s">
        <v>132</v>
      </c>
      <c r="BT9" s="25" t="s">
        <v>131</v>
      </c>
      <c r="BV9" s="24" t="s">
        <v>1</v>
      </c>
      <c r="BW9" s="195" t="s">
        <v>2</v>
      </c>
      <c r="BX9" s="195"/>
      <c r="BY9" s="195" t="s">
        <v>3</v>
      </c>
      <c r="BZ9" s="195"/>
    </row>
    <row r="10" spans="2:78" ht="18" customHeight="1">
      <c r="B10" s="16"/>
      <c r="C10" s="12"/>
      <c r="D10" s="27" t="s">
        <v>4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71"/>
      <c r="S10" s="13"/>
      <c r="T10" s="13"/>
      <c r="U10" s="13"/>
      <c r="V10" s="13"/>
      <c r="W10" s="13"/>
      <c r="X10" s="13"/>
      <c r="Y10" s="13"/>
      <c r="Z10" s="13"/>
      <c r="AA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5"/>
      <c r="AV10" s="17"/>
      <c r="AZ10" s="18"/>
      <c r="BC10" s="1">
        <v>1</v>
      </c>
      <c r="BE10" s="20"/>
      <c r="BF10" s="28"/>
      <c r="BG10" s="29" t="s">
        <v>38</v>
      </c>
      <c r="BH10" s="30"/>
      <c r="BI10" s="31"/>
      <c r="BJ10" s="32"/>
      <c r="BK10" s="33"/>
      <c r="BL10" s="33">
        <f t="shared" ref="BL10:BL40" si="0">IF(AND(BJ10=1,BK10=1),1,0)</f>
        <v>0</v>
      </c>
      <c r="BM10" s="24"/>
      <c r="BN10" s="34"/>
      <c r="BO10" s="33"/>
      <c r="BP10" s="24"/>
      <c r="BQ10" s="26"/>
      <c r="BR10" s="24"/>
      <c r="BS10" s="24"/>
      <c r="BT10" s="24"/>
      <c r="BV10" s="24"/>
      <c r="BW10" s="24"/>
      <c r="BX10" s="24"/>
      <c r="BY10" s="24"/>
      <c r="BZ10" s="24"/>
    </row>
    <row r="11" spans="2:78" s="14" customFormat="1" ht="18" customHeight="1">
      <c r="B11" s="16"/>
      <c r="C11" s="16"/>
      <c r="J11" s="35"/>
      <c r="R11" s="36"/>
      <c r="S11" s="36"/>
      <c r="T11" s="36"/>
      <c r="U11" s="36"/>
      <c r="V11" s="36"/>
      <c r="W11" s="36"/>
      <c r="X11" s="36"/>
      <c r="AU11" s="17"/>
      <c r="AV11" s="17"/>
      <c r="AW11" s="37"/>
      <c r="AX11" s="37"/>
      <c r="AZ11" s="18"/>
      <c r="BC11" s="14">
        <v>2</v>
      </c>
      <c r="BD11" s="20">
        <v>32</v>
      </c>
      <c r="BE11" s="38"/>
      <c r="BF11" s="39">
        <v>3</v>
      </c>
      <c r="BG11" s="40"/>
      <c r="BH11" s="154"/>
      <c r="BI11" s="155" t="s">
        <v>135</v>
      </c>
      <c r="BJ11" s="32">
        <f t="shared" ref="BJ11:BJ40" si="1">IF(BM11=BI$6,1,0)</f>
        <v>0</v>
      </c>
      <c r="BK11" s="33">
        <f>IF($BD$9&lt;=400,1,0)</f>
        <v>1</v>
      </c>
      <c r="BL11" s="33">
        <f t="shared" si="0"/>
        <v>0</v>
      </c>
      <c r="BM11" s="31" t="s">
        <v>147</v>
      </c>
      <c r="BN11" s="34" t="s">
        <v>5</v>
      </c>
      <c r="BO11" s="33">
        <v>24</v>
      </c>
      <c r="BP11" s="42">
        <v>3</v>
      </c>
      <c r="BQ11" s="26">
        <v>170000</v>
      </c>
      <c r="BR11" s="24">
        <v>1.5</v>
      </c>
      <c r="BS11" s="24">
        <v>1.5</v>
      </c>
      <c r="BT11" s="43" t="e">
        <f t="shared" ref="BT11:BT16" si="2">0.0084*$N$42+0.0168</f>
        <v>#VALUE!</v>
      </c>
      <c r="BV11" s="24"/>
      <c r="BW11" s="24"/>
      <c r="BX11" s="24"/>
      <c r="BY11" s="24"/>
      <c r="BZ11" s="24"/>
    </row>
    <row r="12" spans="2:78" s="14" customFormat="1" ht="18" customHeight="1">
      <c r="B12" s="16"/>
      <c r="C12" s="16"/>
      <c r="D12" s="14" t="s">
        <v>87</v>
      </c>
      <c r="K12" s="196"/>
      <c r="L12" s="197"/>
      <c r="M12" s="197"/>
      <c r="N12" s="197"/>
      <c r="O12" s="197"/>
      <c r="P12" s="197"/>
      <c r="Q12" s="197"/>
      <c r="R12" s="197"/>
      <c r="S12" s="197"/>
      <c r="T12" s="197"/>
      <c r="U12" s="198"/>
      <c r="V12" s="36"/>
      <c r="W12" s="36"/>
      <c r="X12" s="36"/>
      <c r="AA12" s="14" t="s">
        <v>45</v>
      </c>
      <c r="AL12" s="199"/>
      <c r="AM12" s="200"/>
      <c r="AN12" s="200"/>
      <c r="AO12" s="200"/>
      <c r="AP12" s="200"/>
      <c r="AQ12" s="200"/>
      <c r="AR12" s="201"/>
      <c r="AU12" s="17"/>
      <c r="AV12" s="17"/>
      <c r="AW12" s="37"/>
      <c r="AX12" s="37"/>
      <c r="AY12" s="44"/>
      <c r="AZ12" s="18"/>
      <c r="BA12" s="44"/>
      <c r="BC12" s="14">
        <v>3</v>
      </c>
      <c r="BD12" s="45">
        <v>40</v>
      </c>
      <c r="BE12" s="46"/>
      <c r="BF12" s="41"/>
      <c r="BG12" s="47" t="s">
        <v>42</v>
      </c>
      <c r="BH12" s="156"/>
      <c r="BI12" s="155" t="s">
        <v>41</v>
      </c>
      <c r="BJ12" s="32">
        <f t="shared" si="1"/>
        <v>0</v>
      </c>
      <c r="BK12" s="48">
        <f>IF(AND($BD$9&lt;=700,$BD$9&gt;400),1,0)</f>
        <v>0</v>
      </c>
      <c r="BL12" s="33">
        <f t="shared" si="0"/>
        <v>0</v>
      </c>
      <c r="BM12" s="31" t="s">
        <v>148</v>
      </c>
      <c r="BN12" s="43" t="s">
        <v>129</v>
      </c>
      <c r="BO12" s="42">
        <v>24</v>
      </c>
      <c r="BP12" s="42">
        <v>12</v>
      </c>
      <c r="BQ12" s="26">
        <v>170000</v>
      </c>
      <c r="BR12" s="24">
        <v>1.5</v>
      </c>
      <c r="BS12" s="24">
        <v>1</v>
      </c>
      <c r="BT12" s="43" t="e">
        <f t="shared" si="2"/>
        <v>#VALUE!</v>
      </c>
      <c r="BV12" s="25" t="s">
        <v>6</v>
      </c>
      <c r="BW12" s="25" t="s">
        <v>7</v>
      </c>
      <c r="BX12" s="25" t="s">
        <v>8</v>
      </c>
      <c r="BY12" s="48" t="s">
        <v>149</v>
      </c>
      <c r="BZ12" s="48" t="s">
        <v>150</v>
      </c>
    </row>
    <row r="13" spans="2:78" s="44" customFormat="1" ht="18" customHeight="1">
      <c r="B13" s="49"/>
      <c r="C13" s="16"/>
      <c r="D13" s="14" t="s">
        <v>47</v>
      </c>
      <c r="E13" s="14"/>
      <c r="F13" s="14"/>
      <c r="G13" s="14"/>
      <c r="H13" s="14"/>
      <c r="I13" s="14"/>
      <c r="J13" s="35"/>
      <c r="K13" s="202"/>
      <c r="L13" s="203"/>
      <c r="M13" s="203"/>
      <c r="N13" s="203"/>
      <c r="O13" s="203"/>
      <c r="P13" s="203"/>
      <c r="Q13" s="203"/>
      <c r="R13" s="203"/>
      <c r="S13" s="203"/>
      <c r="T13" s="203"/>
      <c r="U13" s="204"/>
      <c r="V13" s="36"/>
      <c r="W13" s="36"/>
      <c r="Y13" s="14" t="s">
        <v>48</v>
      </c>
      <c r="AA13" s="205"/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06"/>
      <c r="AP13" s="206"/>
      <c r="AQ13" s="206"/>
      <c r="AR13" s="207"/>
      <c r="AS13" s="14"/>
      <c r="AT13" s="14"/>
      <c r="AU13" s="17"/>
      <c r="AV13" s="50"/>
      <c r="AZ13" s="18"/>
      <c r="BC13" s="14">
        <v>4</v>
      </c>
      <c r="BD13" s="51">
        <v>50</v>
      </c>
      <c r="BE13" s="38"/>
      <c r="BF13" s="41"/>
      <c r="BG13" s="47" t="s">
        <v>9</v>
      </c>
      <c r="BH13" s="154"/>
      <c r="BI13" s="155" t="s">
        <v>136</v>
      </c>
      <c r="BJ13" s="32">
        <f t="shared" si="1"/>
        <v>0</v>
      </c>
      <c r="BK13" s="52">
        <f>IF($BD$9&gt;700,1,0)</f>
        <v>0</v>
      </c>
      <c r="BL13" s="33">
        <f t="shared" si="0"/>
        <v>0</v>
      </c>
      <c r="BM13" s="31" t="s">
        <v>151</v>
      </c>
      <c r="BN13" s="53" t="s">
        <v>10</v>
      </c>
      <c r="BO13" s="33">
        <v>24</v>
      </c>
      <c r="BP13" s="42">
        <v>24</v>
      </c>
      <c r="BQ13" s="26">
        <v>170000</v>
      </c>
      <c r="BR13" s="24">
        <v>1.5</v>
      </c>
      <c r="BS13" s="43">
        <v>1</v>
      </c>
      <c r="BT13" s="43" t="e">
        <f t="shared" si="2"/>
        <v>#VALUE!</v>
      </c>
      <c r="BV13" s="25">
        <v>25</v>
      </c>
      <c r="BW13" s="25"/>
      <c r="BX13" s="25"/>
      <c r="BY13" s="25">
        <v>2.2999999999999998</v>
      </c>
      <c r="BZ13" s="25">
        <f t="shared" ref="BZ13:BZ31" si="3">BV13-BY13*2</f>
        <v>20.399999999999999</v>
      </c>
    </row>
    <row r="14" spans="2:78" s="44" customFormat="1" ht="18" customHeight="1">
      <c r="B14" s="49"/>
      <c r="C14" s="16"/>
      <c r="D14" s="54" t="s">
        <v>46</v>
      </c>
      <c r="E14" s="14"/>
      <c r="F14" s="14"/>
      <c r="G14" s="14"/>
      <c r="H14" s="14"/>
      <c r="I14" s="14"/>
      <c r="J14" s="35"/>
      <c r="K14" s="202"/>
      <c r="L14" s="203"/>
      <c r="M14" s="203"/>
      <c r="N14" s="203"/>
      <c r="O14" s="203"/>
      <c r="P14" s="203"/>
      <c r="Q14" s="203"/>
      <c r="R14" s="203"/>
      <c r="S14" s="203"/>
      <c r="T14" s="203"/>
      <c r="U14" s="204"/>
      <c r="V14" s="36"/>
      <c r="W14" s="36" t="s">
        <v>11</v>
      </c>
      <c r="X14" s="36"/>
      <c r="Y14" s="14"/>
      <c r="AA14" s="205"/>
      <c r="AB14" s="206"/>
      <c r="AC14" s="206"/>
      <c r="AD14" s="206"/>
      <c r="AE14" s="206"/>
      <c r="AF14" s="206"/>
      <c r="AG14" s="206"/>
      <c r="AH14" s="206"/>
      <c r="AI14" s="206"/>
      <c r="AJ14" s="206"/>
      <c r="AK14" s="206"/>
      <c r="AL14" s="206"/>
      <c r="AM14" s="206"/>
      <c r="AN14" s="206"/>
      <c r="AO14" s="206"/>
      <c r="AP14" s="206"/>
      <c r="AQ14" s="206"/>
      <c r="AR14" s="207"/>
      <c r="AS14" s="14"/>
      <c r="AT14" s="14"/>
      <c r="AU14" s="17"/>
      <c r="AV14" s="50"/>
      <c r="AZ14" s="18"/>
      <c r="BB14" s="1"/>
      <c r="BC14" s="14">
        <v>5</v>
      </c>
      <c r="BD14" s="55">
        <v>63</v>
      </c>
      <c r="BE14" s="46"/>
      <c r="BF14" s="41"/>
      <c r="BG14" s="56" t="s">
        <v>128</v>
      </c>
      <c r="BH14" s="154"/>
      <c r="BI14" s="155" t="s">
        <v>137</v>
      </c>
      <c r="BJ14" s="32">
        <f t="shared" si="1"/>
        <v>0</v>
      </c>
      <c r="BK14" s="33">
        <f>IF($BD$9&lt;=400,1,0)</f>
        <v>1</v>
      </c>
      <c r="BL14" s="33">
        <f t="shared" si="0"/>
        <v>0</v>
      </c>
      <c r="BM14" s="31" t="s">
        <v>152</v>
      </c>
      <c r="BN14" s="34" t="s">
        <v>153</v>
      </c>
      <c r="BO14" s="33">
        <v>24</v>
      </c>
      <c r="BP14" s="42">
        <v>3</v>
      </c>
      <c r="BQ14" s="57">
        <v>210000</v>
      </c>
      <c r="BR14" s="24">
        <v>1.5</v>
      </c>
      <c r="BS14" s="24">
        <v>1.5</v>
      </c>
      <c r="BT14" s="43" t="e">
        <f t="shared" si="2"/>
        <v>#VALUE!</v>
      </c>
      <c r="BV14" s="25">
        <v>32</v>
      </c>
      <c r="BW14" s="25"/>
      <c r="BX14" s="25"/>
      <c r="BY14" s="25">
        <v>2.9</v>
      </c>
      <c r="BZ14" s="25">
        <f t="shared" si="3"/>
        <v>26.2</v>
      </c>
    </row>
    <row r="15" spans="2:78" s="44" customFormat="1" ht="18" customHeight="1">
      <c r="B15" s="49"/>
      <c r="C15" s="58"/>
      <c r="D15" s="59" t="s">
        <v>88</v>
      </c>
      <c r="E15" s="59"/>
      <c r="F15" s="59"/>
      <c r="G15" s="59"/>
      <c r="H15" s="59"/>
      <c r="I15" s="59"/>
      <c r="J15" s="59"/>
      <c r="K15" s="208"/>
      <c r="L15" s="209"/>
      <c r="M15" s="209"/>
      <c r="N15" s="209"/>
      <c r="O15" s="209"/>
      <c r="P15" s="209"/>
      <c r="Q15" s="209"/>
      <c r="R15" s="209"/>
      <c r="S15" s="209"/>
      <c r="T15" s="209"/>
      <c r="U15" s="210"/>
      <c r="V15" s="3"/>
      <c r="W15" s="3" t="s">
        <v>49</v>
      </c>
      <c r="X15" s="3"/>
      <c r="Y15" s="3"/>
      <c r="Z15" s="3"/>
      <c r="AA15" s="3"/>
      <c r="AB15" s="14"/>
      <c r="AC15" s="3"/>
      <c r="AD15" s="3"/>
      <c r="AE15" s="3"/>
      <c r="AF15" s="3"/>
      <c r="AG15" s="3"/>
      <c r="AH15" s="3"/>
      <c r="AI15" s="3"/>
      <c r="AJ15" s="59"/>
      <c r="AK15" s="59"/>
      <c r="AL15" s="3" t="s">
        <v>50</v>
      </c>
      <c r="AM15" s="3"/>
      <c r="AN15" s="3"/>
      <c r="AO15" s="60"/>
      <c r="AP15" s="59"/>
      <c r="AQ15" s="211"/>
      <c r="AR15" s="212"/>
      <c r="AS15" s="3" t="s">
        <v>12</v>
      </c>
      <c r="AT15" s="3"/>
      <c r="AU15" s="61"/>
      <c r="AV15" s="50"/>
      <c r="AZ15" s="18"/>
      <c r="BB15" s="14"/>
      <c r="BC15" s="14">
        <v>6</v>
      </c>
      <c r="BD15" s="55">
        <v>75</v>
      </c>
      <c r="BE15" s="38"/>
      <c r="BF15" s="62"/>
      <c r="BG15" s="63" t="s">
        <v>43</v>
      </c>
      <c r="BH15" s="154"/>
      <c r="BI15" s="157" t="s">
        <v>75</v>
      </c>
      <c r="BJ15" s="32">
        <f t="shared" si="1"/>
        <v>0</v>
      </c>
      <c r="BK15" s="48">
        <f>IF(AND($BD$9&lt;=700,$BD$9&gt;400),1,0)</f>
        <v>0</v>
      </c>
      <c r="BL15" s="33">
        <f t="shared" si="0"/>
        <v>0</v>
      </c>
      <c r="BM15" s="31" t="s">
        <v>154</v>
      </c>
      <c r="BN15" s="43" t="s">
        <v>155</v>
      </c>
      <c r="BO15" s="42">
        <v>24</v>
      </c>
      <c r="BP15" s="42">
        <v>12</v>
      </c>
      <c r="BQ15" s="57">
        <v>210000</v>
      </c>
      <c r="BR15" s="24">
        <v>1.5</v>
      </c>
      <c r="BS15" s="24">
        <v>1</v>
      </c>
      <c r="BT15" s="43" t="e">
        <f t="shared" si="2"/>
        <v>#VALUE!</v>
      </c>
      <c r="BV15" s="25">
        <v>40</v>
      </c>
      <c r="BW15" s="25"/>
      <c r="BX15" s="25"/>
      <c r="BY15" s="25">
        <v>3.7</v>
      </c>
      <c r="BZ15" s="25">
        <f t="shared" si="3"/>
        <v>32.6</v>
      </c>
    </row>
    <row r="16" spans="2:78" s="44" customFormat="1" ht="12.75" customHeight="1">
      <c r="B16" s="49"/>
      <c r="C16" s="14"/>
      <c r="D16" s="65"/>
      <c r="E16" s="14"/>
      <c r="F16" s="14"/>
      <c r="G16" s="14"/>
      <c r="H16" s="14"/>
      <c r="I16" s="14"/>
      <c r="J16" s="14"/>
      <c r="K16" s="66"/>
      <c r="L16" s="66"/>
      <c r="M16" s="5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67"/>
      <c r="AB16" s="67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50"/>
      <c r="AZ16" s="18"/>
      <c r="BB16" s="14"/>
      <c r="BC16" s="14">
        <v>7</v>
      </c>
      <c r="BD16" s="20">
        <v>80</v>
      </c>
      <c r="BE16" s="46"/>
      <c r="BH16" s="154"/>
      <c r="BI16" s="157" t="s">
        <v>156</v>
      </c>
      <c r="BJ16" s="32">
        <f t="shared" si="1"/>
        <v>0</v>
      </c>
      <c r="BK16" s="52">
        <f>IF($BD$9&gt;700,1,0)</f>
        <v>0</v>
      </c>
      <c r="BL16" s="33">
        <f t="shared" si="0"/>
        <v>0</v>
      </c>
      <c r="BM16" s="31" t="s">
        <v>157</v>
      </c>
      <c r="BN16" s="53" t="s">
        <v>158</v>
      </c>
      <c r="BO16" s="33">
        <v>24</v>
      </c>
      <c r="BP16" s="42">
        <v>24</v>
      </c>
      <c r="BQ16" s="57">
        <v>210000</v>
      </c>
      <c r="BR16" s="24">
        <v>1.5</v>
      </c>
      <c r="BS16" s="43">
        <v>1</v>
      </c>
      <c r="BT16" s="43" t="e">
        <f t="shared" si="2"/>
        <v>#VALUE!</v>
      </c>
      <c r="BV16" s="52">
        <v>50</v>
      </c>
      <c r="BW16" s="68"/>
      <c r="BX16" s="25"/>
      <c r="BY16" s="68">
        <v>4.5999999999999996</v>
      </c>
      <c r="BZ16" s="25">
        <f t="shared" si="3"/>
        <v>40.799999999999997</v>
      </c>
    </row>
    <row r="17" spans="2:78" s="44" customFormat="1" ht="18" customHeight="1">
      <c r="B17" s="49"/>
      <c r="C17" s="12"/>
      <c r="D17" s="69" t="s">
        <v>51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W17" s="13"/>
      <c r="X17" s="13"/>
      <c r="Y17" s="15"/>
      <c r="Z17" s="12"/>
      <c r="AA17" s="70" t="s">
        <v>90</v>
      </c>
      <c r="AB17" s="14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5"/>
      <c r="AV17" s="50"/>
      <c r="AZ17" s="18"/>
      <c r="BC17" s="14">
        <v>8</v>
      </c>
      <c r="BD17" s="55">
        <v>90</v>
      </c>
      <c r="BE17" s="38"/>
      <c r="BH17" s="154"/>
      <c r="BI17" s="155" t="s">
        <v>13</v>
      </c>
      <c r="BJ17" s="32">
        <f t="shared" si="1"/>
        <v>0</v>
      </c>
      <c r="BK17" s="33">
        <f>IF($BD$9&lt;=400,1,0)</f>
        <v>1</v>
      </c>
      <c r="BL17" s="33">
        <f t="shared" si="0"/>
        <v>0</v>
      </c>
      <c r="BM17" s="31" t="s">
        <v>159</v>
      </c>
      <c r="BN17" s="34" t="s">
        <v>160</v>
      </c>
      <c r="BO17" s="33">
        <v>1</v>
      </c>
      <c r="BP17" s="33">
        <v>3</v>
      </c>
      <c r="BQ17" s="26">
        <v>170000</v>
      </c>
      <c r="BR17" s="24">
        <v>1.5</v>
      </c>
      <c r="BS17" s="24">
        <v>1.5</v>
      </c>
      <c r="BT17" s="43">
        <v>0.1</v>
      </c>
      <c r="BV17" s="52">
        <v>63</v>
      </c>
      <c r="BW17" s="68"/>
      <c r="BX17" s="25"/>
      <c r="BY17" s="68">
        <v>5.8</v>
      </c>
      <c r="BZ17" s="25">
        <f t="shared" si="3"/>
        <v>51.4</v>
      </c>
    </row>
    <row r="18" spans="2:78" s="44" customFormat="1" ht="18" customHeight="1">
      <c r="B18" s="49"/>
      <c r="C18" s="16"/>
      <c r="D18" s="71" t="s">
        <v>52</v>
      </c>
      <c r="E18" s="14"/>
      <c r="F18" s="14"/>
      <c r="G18" s="14"/>
      <c r="I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7"/>
      <c r="AA18" s="275" t="s">
        <v>238</v>
      </c>
      <c r="AB18" s="72"/>
      <c r="AC18" s="274" t="s">
        <v>237</v>
      </c>
      <c r="AJ18" s="14"/>
      <c r="AK18" s="14"/>
      <c r="AL18" s="14"/>
      <c r="AM18" s="213" t="str">
        <f>IF(ISERROR(0.1*AM25*PI()*(AM20^2)*AM24/4*AM19*((1/AM21)+(AM20/(AM22*AM23)))),"",0.1*AM25*PI()*(AM20^2)*AM24/4*AM19*((1/AM21)+(AM20/(AM22*AM23))))</f>
        <v/>
      </c>
      <c r="AN18" s="213"/>
      <c r="AO18" s="213"/>
      <c r="AS18" s="151" t="s">
        <v>14</v>
      </c>
      <c r="AT18" s="14"/>
      <c r="AU18" s="17"/>
      <c r="AV18" s="50"/>
      <c r="AZ18" s="18"/>
      <c r="BB18" s="1"/>
      <c r="BC18" s="14">
        <v>9</v>
      </c>
      <c r="BD18" s="45">
        <v>100</v>
      </c>
      <c r="BE18" s="46"/>
      <c r="BF18" s="75"/>
      <c r="BG18" s="76" t="s">
        <v>39</v>
      </c>
      <c r="BH18" s="154"/>
      <c r="BI18" s="155" t="s">
        <v>15</v>
      </c>
      <c r="BJ18" s="32">
        <f t="shared" si="1"/>
        <v>0</v>
      </c>
      <c r="BK18" s="48">
        <f>IF(AND($BD$9&lt;=700,$BD$9&gt;400),1,0)</f>
        <v>0</v>
      </c>
      <c r="BL18" s="33">
        <f t="shared" si="0"/>
        <v>0</v>
      </c>
      <c r="BM18" s="31" t="s">
        <v>161</v>
      </c>
      <c r="BN18" s="43" t="s">
        <v>162</v>
      </c>
      <c r="BO18" s="33">
        <v>1</v>
      </c>
      <c r="BP18" s="33">
        <v>12</v>
      </c>
      <c r="BQ18" s="26">
        <v>170000</v>
      </c>
      <c r="BR18" s="24">
        <v>1.5</v>
      </c>
      <c r="BS18" s="24">
        <v>1</v>
      </c>
      <c r="BT18" s="43">
        <v>0.1</v>
      </c>
      <c r="BV18" s="52">
        <v>75</v>
      </c>
      <c r="BW18" s="68"/>
      <c r="BX18" s="25"/>
      <c r="BY18" s="68">
        <v>6.8</v>
      </c>
      <c r="BZ18" s="25">
        <f t="shared" si="3"/>
        <v>61.4</v>
      </c>
    </row>
    <row r="19" spans="2:78" s="44" customFormat="1" ht="18" customHeight="1">
      <c r="B19" s="49"/>
      <c r="C19" s="16"/>
      <c r="D19" s="54" t="s">
        <v>53</v>
      </c>
      <c r="E19" s="14"/>
      <c r="F19" s="14"/>
      <c r="G19" s="14"/>
      <c r="H19" s="77"/>
      <c r="I19" s="77" t="s">
        <v>16</v>
      </c>
      <c r="J19" s="14"/>
      <c r="K19" s="14"/>
      <c r="L19" s="14"/>
      <c r="M19" s="14"/>
      <c r="N19" s="14"/>
      <c r="O19" s="14"/>
      <c r="P19" s="14"/>
      <c r="Q19" s="14"/>
      <c r="R19" s="14"/>
      <c r="T19" s="14"/>
      <c r="U19" s="14"/>
      <c r="V19" s="14"/>
      <c r="X19" s="14"/>
      <c r="Y19" s="17"/>
      <c r="Z19" s="14"/>
      <c r="AA19" s="78" t="s">
        <v>239</v>
      </c>
      <c r="AB19" s="66"/>
      <c r="AC19" s="276" t="s">
        <v>89</v>
      </c>
      <c r="AJ19" s="14"/>
      <c r="AK19" s="14"/>
      <c r="AL19" s="14"/>
      <c r="AM19" s="192" t="str">
        <f>IF(T34="","",AM43-AM44)</f>
        <v/>
      </c>
      <c r="AN19" s="192"/>
      <c r="AO19" s="153"/>
      <c r="AS19" s="80" t="s">
        <v>17</v>
      </c>
      <c r="AU19" s="17"/>
      <c r="AV19" s="50"/>
      <c r="AZ19" s="18"/>
      <c r="BB19" s="14"/>
      <c r="BC19" s="14">
        <v>10</v>
      </c>
      <c r="BD19" s="55">
        <v>110</v>
      </c>
      <c r="BE19" s="38"/>
      <c r="BF19" s="39">
        <v>2</v>
      </c>
      <c r="BG19" s="56"/>
      <c r="BH19" s="154"/>
      <c r="BI19" s="157" t="s">
        <v>18</v>
      </c>
      <c r="BJ19" s="32">
        <f t="shared" si="1"/>
        <v>0</v>
      </c>
      <c r="BK19" s="52">
        <f>IF($BD$9&gt;700,1,0)</f>
        <v>0</v>
      </c>
      <c r="BL19" s="33">
        <f t="shared" si="0"/>
        <v>0</v>
      </c>
      <c r="BM19" s="31" t="s">
        <v>163</v>
      </c>
      <c r="BN19" s="53" t="s">
        <v>164</v>
      </c>
      <c r="BO19" s="33">
        <v>1</v>
      </c>
      <c r="BP19" s="33">
        <v>24</v>
      </c>
      <c r="BQ19" s="26">
        <v>170000</v>
      </c>
      <c r="BR19" s="24">
        <v>1.5</v>
      </c>
      <c r="BS19" s="43">
        <v>1</v>
      </c>
      <c r="BT19" s="43">
        <v>0.1</v>
      </c>
      <c r="BV19" s="52">
        <v>90</v>
      </c>
      <c r="BW19" s="68">
        <v>5.4</v>
      </c>
      <c r="BX19" s="25">
        <f t="shared" ref="BX19:BX29" si="4">BV19-BW19*2</f>
        <v>79.2</v>
      </c>
      <c r="BY19" s="68">
        <v>8.1999999999999993</v>
      </c>
      <c r="BZ19" s="25">
        <f t="shared" si="3"/>
        <v>73.599999999999994</v>
      </c>
    </row>
    <row r="20" spans="2:78" s="44" customFormat="1" ht="18" customHeight="1">
      <c r="B20" s="49"/>
      <c r="C20" s="16"/>
      <c r="D20" s="14" t="s">
        <v>54</v>
      </c>
      <c r="E20" s="14"/>
      <c r="F20" s="14"/>
      <c r="G20" s="14"/>
      <c r="H20" s="14"/>
      <c r="I20" s="14"/>
      <c r="J20" s="211"/>
      <c r="K20" s="214"/>
      <c r="L20" s="214"/>
      <c r="M20" s="214"/>
      <c r="N20" s="214"/>
      <c r="O20" s="214"/>
      <c r="P20" s="214"/>
      <c r="Q20" s="214"/>
      <c r="R20" s="212"/>
      <c r="S20" s="14"/>
      <c r="T20" s="14"/>
      <c r="U20" s="14"/>
      <c r="V20" s="14"/>
      <c r="W20" s="81"/>
      <c r="X20" s="81"/>
      <c r="Y20" s="17"/>
      <c r="Z20" s="14"/>
      <c r="AA20" s="66" t="s">
        <v>19</v>
      </c>
      <c r="AB20" s="66"/>
      <c r="AC20" s="276" t="s">
        <v>61</v>
      </c>
      <c r="AJ20" s="14"/>
      <c r="AK20" s="14"/>
      <c r="AL20" s="14"/>
      <c r="AM20" s="215">
        <f>IF(AP20="",IF(BH9&lt;=5,BD9,IF(BH9=10,VLOOKUP(BD9,BV13:BZ31,5,FALSE),IF(BH9=11,VLOOKUP(BD9,BV13:BZ31,3,FALSE),"DI ="))),AP20)</f>
        <v>0</v>
      </c>
      <c r="AN20" s="215"/>
      <c r="AO20" s="153"/>
      <c r="AP20" s="216"/>
      <c r="AQ20" s="216"/>
      <c r="AR20" s="216"/>
      <c r="AS20" s="80" t="s">
        <v>20</v>
      </c>
      <c r="AU20" s="17"/>
      <c r="AV20" s="50"/>
      <c r="AZ20" s="18"/>
      <c r="BC20" s="14">
        <v>11</v>
      </c>
      <c r="BD20" s="55">
        <v>125</v>
      </c>
      <c r="BE20" s="46"/>
      <c r="BF20" s="41"/>
      <c r="BG20" s="56" t="s">
        <v>165</v>
      </c>
      <c r="BH20" s="158"/>
      <c r="BI20" s="159" t="s">
        <v>21</v>
      </c>
      <c r="BJ20" s="32">
        <f t="shared" si="1"/>
        <v>0</v>
      </c>
      <c r="BK20" s="33">
        <f>IF($BD$9&lt;=400,1,0)</f>
        <v>1</v>
      </c>
      <c r="BL20" s="33">
        <f t="shared" si="0"/>
        <v>0</v>
      </c>
      <c r="BM20" s="31" t="s">
        <v>166</v>
      </c>
      <c r="BN20" s="34" t="s">
        <v>167</v>
      </c>
      <c r="BO20" s="33">
        <v>1</v>
      </c>
      <c r="BP20" s="33">
        <v>3</v>
      </c>
      <c r="BQ20" s="57">
        <v>210000</v>
      </c>
      <c r="BR20" s="24">
        <v>1.5</v>
      </c>
      <c r="BS20" s="24">
        <v>1.5</v>
      </c>
      <c r="BT20" s="43">
        <v>0.1</v>
      </c>
      <c r="BV20" s="52">
        <v>110</v>
      </c>
      <c r="BW20" s="68">
        <v>6.6</v>
      </c>
      <c r="BX20" s="25">
        <f t="shared" si="4"/>
        <v>96.8</v>
      </c>
      <c r="BY20" s="68">
        <v>10</v>
      </c>
      <c r="BZ20" s="25">
        <f t="shared" si="3"/>
        <v>90</v>
      </c>
    </row>
    <row r="21" spans="2:78" s="44" customFormat="1" ht="18" customHeight="1">
      <c r="B21" s="49"/>
      <c r="C21" s="16"/>
      <c r="D21" s="14" t="s">
        <v>55</v>
      </c>
      <c r="E21" s="14"/>
      <c r="F21" s="14"/>
      <c r="G21" s="14"/>
      <c r="H21" s="14"/>
      <c r="I21" s="77"/>
      <c r="J21" s="66"/>
      <c r="K21" s="66"/>
      <c r="L21" s="77" t="s">
        <v>168</v>
      </c>
      <c r="M21" s="14"/>
      <c r="O21" s="14"/>
      <c r="P21" s="14"/>
      <c r="Q21" s="14" t="s">
        <v>169</v>
      </c>
      <c r="R21" s="14"/>
      <c r="T21" s="14"/>
      <c r="U21" s="14"/>
      <c r="V21" s="14"/>
      <c r="W21" s="14"/>
      <c r="X21" s="14"/>
      <c r="Y21" s="17"/>
      <c r="Z21" s="14"/>
      <c r="AA21" s="66" t="s">
        <v>58</v>
      </c>
      <c r="AB21" s="66"/>
      <c r="AC21" s="277" t="s">
        <v>60</v>
      </c>
      <c r="AJ21" s="14"/>
      <c r="AK21" s="14"/>
      <c r="AL21" s="14"/>
      <c r="AM21" s="215">
        <v>2027</v>
      </c>
      <c r="AN21" s="215"/>
      <c r="AO21" s="153"/>
      <c r="AS21" s="78" t="s">
        <v>22</v>
      </c>
      <c r="AU21" s="17"/>
      <c r="AV21" s="50"/>
      <c r="AZ21" s="18"/>
      <c r="BB21" s="1"/>
      <c r="BC21" s="14">
        <v>12</v>
      </c>
      <c r="BD21" s="55">
        <v>140</v>
      </c>
      <c r="BE21" s="38"/>
      <c r="BF21" s="41"/>
      <c r="BG21" s="64" t="s">
        <v>23</v>
      </c>
      <c r="BJ21" s="25">
        <f t="shared" si="1"/>
        <v>0</v>
      </c>
      <c r="BK21" s="48">
        <f>IF(AND($BD$9&lt;=700,$BD$9&gt;400),1,0)</f>
        <v>0</v>
      </c>
      <c r="BL21" s="33">
        <f t="shared" si="0"/>
        <v>0</v>
      </c>
      <c r="BM21" s="31" t="s">
        <v>170</v>
      </c>
      <c r="BN21" s="43" t="s">
        <v>171</v>
      </c>
      <c r="BO21" s="33">
        <v>1</v>
      </c>
      <c r="BP21" s="33">
        <v>12</v>
      </c>
      <c r="BQ21" s="57">
        <v>210000</v>
      </c>
      <c r="BR21" s="24">
        <v>1.5</v>
      </c>
      <c r="BS21" s="24">
        <v>1</v>
      </c>
      <c r="BT21" s="43">
        <v>0.1</v>
      </c>
      <c r="BV21" s="52">
        <v>125</v>
      </c>
      <c r="BW21" s="68">
        <v>7.4</v>
      </c>
      <c r="BX21" s="25">
        <f t="shared" si="4"/>
        <v>110.2</v>
      </c>
      <c r="BY21" s="68">
        <v>11.4</v>
      </c>
      <c r="BZ21" s="25">
        <f t="shared" si="3"/>
        <v>102.2</v>
      </c>
    </row>
    <row r="22" spans="2:78" s="44" customFormat="1" ht="18" customHeight="1">
      <c r="B22" s="49"/>
      <c r="C22" s="16"/>
      <c r="D22" s="54" t="s">
        <v>134</v>
      </c>
      <c r="E22" s="14"/>
      <c r="F22" s="14"/>
      <c r="G22" s="14"/>
      <c r="H22" s="14"/>
      <c r="I22" s="14"/>
      <c r="J22" s="14"/>
      <c r="K22" s="14"/>
      <c r="L22" s="77" t="s">
        <v>172</v>
      </c>
      <c r="M22" s="217"/>
      <c r="N22" s="217"/>
      <c r="O22" s="14" t="s">
        <v>56</v>
      </c>
      <c r="P22" s="14"/>
      <c r="Q22" s="14"/>
      <c r="S22" s="14"/>
      <c r="T22" s="14"/>
      <c r="U22" s="14"/>
      <c r="V22" s="14"/>
      <c r="W22" s="14"/>
      <c r="X22" s="14"/>
      <c r="Y22" s="17"/>
      <c r="Z22" s="14"/>
      <c r="AA22" s="66" t="s">
        <v>57</v>
      </c>
      <c r="AB22" s="66"/>
      <c r="AC22" s="277" t="s">
        <v>240</v>
      </c>
      <c r="AJ22" s="14"/>
      <c r="AK22" s="14"/>
      <c r="AL22" s="14"/>
      <c r="AM22" s="218" t="str">
        <f>IF(AP22="",IF(SUM(BJ11:BJ40)=0,"",VLOOKUP(1,BL11:BR40,6,FALSE)),AP22)</f>
        <v/>
      </c>
      <c r="AN22" s="218"/>
      <c r="AO22" s="218"/>
      <c r="AP22" s="216"/>
      <c r="AQ22" s="216"/>
      <c r="AR22" s="216"/>
      <c r="AS22" s="78" t="s">
        <v>173</v>
      </c>
      <c r="AU22" s="17"/>
      <c r="AV22" s="50"/>
      <c r="AZ22" s="18"/>
      <c r="BB22" s="14"/>
      <c r="BC22" s="14">
        <v>13</v>
      </c>
      <c r="BD22" s="55">
        <v>150</v>
      </c>
      <c r="BE22" s="46"/>
      <c r="BF22" s="41"/>
      <c r="BG22" s="64" t="s">
        <v>174</v>
      </c>
      <c r="BJ22" s="83">
        <f t="shared" si="1"/>
        <v>0</v>
      </c>
      <c r="BK22" s="84">
        <f>IF($BD$9&gt;700,1,0)</f>
        <v>0</v>
      </c>
      <c r="BL22" s="85">
        <f t="shared" si="0"/>
        <v>0</v>
      </c>
      <c r="BM22" s="31" t="s">
        <v>175</v>
      </c>
      <c r="BN22" s="86" t="s">
        <v>176</v>
      </c>
      <c r="BO22" s="85">
        <v>1</v>
      </c>
      <c r="BP22" s="85">
        <v>24</v>
      </c>
      <c r="BQ22" s="57">
        <v>210000</v>
      </c>
      <c r="BR22" s="87">
        <v>1.5</v>
      </c>
      <c r="BS22" s="43">
        <v>1</v>
      </c>
      <c r="BT22" s="43">
        <v>0.1</v>
      </c>
      <c r="BV22" s="52">
        <v>140</v>
      </c>
      <c r="BW22" s="68">
        <v>8.3000000000000007</v>
      </c>
      <c r="BX22" s="25">
        <f t="shared" si="4"/>
        <v>123.4</v>
      </c>
      <c r="BY22" s="68">
        <v>12.7</v>
      </c>
      <c r="BZ22" s="25">
        <f t="shared" si="3"/>
        <v>114.6</v>
      </c>
    </row>
    <row r="23" spans="2:78" s="44" customFormat="1" ht="18" customHeight="1">
      <c r="B23" s="49"/>
      <c r="C23" s="16"/>
      <c r="D23" s="74" t="s">
        <v>62</v>
      </c>
      <c r="S23" s="14"/>
      <c r="T23" s="14"/>
      <c r="U23" s="14"/>
      <c r="V23" s="14"/>
      <c r="X23" s="14"/>
      <c r="Y23" s="17"/>
      <c r="Z23" s="14"/>
      <c r="AA23" s="78" t="s">
        <v>59</v>
      </c>
      <c r="AB23" s="66"/>
      <c r="AC23" s="277" t="s">
        <v>241</v>
      </c>
      <c r="AJ23" s="14"/>
      <c r="AK23" s="14"/>
      <c r="AL23" s="14"/>
      <c r="AM23" s="220" t="str">
        <f>IF(AP23="",IF(BD9=0,"",IF(OR(BH9=2,BH9=3),MAX(9*(0.5+0.001*BD9),6),IF(BH9=10,VLOOKUP(BD9,BV13:BZ31,4,FALSE),IF(BH9=11,VLOOKUP(BD9,BV13:BZ31,2,FALSE))))),AP23)</f>
        <v/>
      </c>
      <c r="AN23" s="220"/>
      <c r="AO23" s="220"/>
      <c r="AP23" s="216"/>
      <c r="AQ23" s="216"/>
      <c r="AR23" s="216"/>
      <c r="AS23" s="73" t="s">
        <v>177</v>
      </c>
      <c r="AU23" s="17"/>
      <c r="AV23" s="50"/>
      <c r="AZ23" s="18"/>
      <c r="BC23" s="14">
        <v>14</v>
      </c>
      <c r="BD23" s="55">
        <v>160</v>
      </c>
      <c r="BE23" s="38"/>
      <c r="BF23" s="62"/>
      <c r="BG23" s="82" t="s">
        <v>44</v>
      </c>
      <c r="BJ23" s="25">
        <f t="shared" si="1"/>
        <v>0</v>
      </c>
      <c r="BK23" s="33">
        <f>IF($BD$9&lt;=400,1,0)</f>
        <v>1</v>
      </c>
      <c r="BL23" s="33">
        <f t="shared" si="0"/>
        <v>0</v>
      </c>
      <c r="BM23" s="152" t="s">
        <v>178</v>
      </c>
      <c r="BN23" s="34" t="s">
        <v>179</v>
      </c>
      <c r="BO23" s="68">
        <v>24</v>
      </c>
      <c r="BP23" s="42">
        <v>3</v>
      </c>
      <c r="BQ23" s="89">
        <v>210000</v>
      </c>
      <c r="BR23" s="24">
        <v>1.5</v>
      </c>
      <c r="BS23" s="24">
        <v>1.5</v>
      </c>
      <c r="BT23" s="43" t="e">
        <f>0.0084*$N$42+0.0168</f>
        <v>#VALUE!</v>
      </c>
      <c r="BV23" s="52">
        <v>160</v>
      </c>
      <c r="BW23" s="68">
        <v>9.5</v>
      </c>
      <c r="BX23" s="25">
        <f t="shared" si="4"/>
        <v>141</v>
      </c>
      <c r="BY23" s="68">
        <v>14.6</v>
      </c>
      <c r="BZ23" s="25">
        <f t="shared" si="3"/>
        <v>130.80000000000001</v>
      </c>
    </row>
    <row r="24" spans="2:78" s="44" customFormat="1" ht="18" customHeight="1">
      <c r="B24" s="49"/>
      <c r="C24" s="16"/>
      <c r="D24" s="221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3"/>
      <c r="Y24" s="17"/>
      <c r="Z24" s="14"/>
      <c r="AA24" s="151" t="s">
        <v>24</v>
      </c>
      <c r="AB24" s="55"/>
      <c r="AC24" s="277" t="s">
        <v>242</v>
      </c>
      <c r="AJ24" s="14"/>
      <c r="AK24" s="14"/>
      <c r="AL24" s="14"/>
      <c r="AM24" s="218">
        <f>M22</f>
        <v>0</v>
      </c>
      <c r="AN24" s="218"/>
      <c r="AO24" s="218"/>
      <c r="AS24" s="150" t="s">
        <v>180</v>
      </c>
      <c r="AU24" s="17"/>
      <c r="AV24" s="50"/>
      <c r="AZ24" s="18"/>
      <c r="BB24" s="1"/>
      <c r="BC24" s="14">
        <v>15</v>
      </c>
      <c r="BD24" s="55">
        <v>180</v>
      </c>
      <c r="BE24" s="46"/>
      <c r="BJ24" s="25">
        <f t="shared" si="1"/>
        <v>0</v>
      </c>
      <c r="BK24" s="48">
        <f>IF(AND($BD$9&lt;=700,$BD$9&gt;400),1,0)</f>
        <v>0</v>
      </c>
      <c r="BL24" s="33">
        <f t="shared" si="0"/>
        <v>0</v>
      </c>
      <c r="BM24" s="152" t="s">
        <v>181</v>
      </c>
      <c r="BN24" s="43" t="s">
        <v>182</v>
      </c>
      <c r="BO24" s="68">
        <v>24</v>
      </c>
      <c r="BP24" s="42">
        <v>12</v>
      </c>
      <c r="BQ24" s="89">
        <v>210000</v>
      </c>
      <c r="BR24" s="24">
        <v>1.5</v>
      </c>
      <c r="BS24" s="24">
        <v>1</v>
      </c>
      <c r="BT24" s="43" t="e">
        <f>0.0084*$N$42+0.0168</f>
        <v>#VALUE!</v>
      </c>
      <c r="BV24" s="52">
        <v>180</v>
      </c>
      <c r="BW24" s="68">
        <v>10.7</v>
      </c>
      <c r="BX24" s="25">
        <f t="shared" si="4"/>
        <v>158.6</v>
      </c>
      <c r="BY24" s="68">
        <v>16.399999999999999</v>
      </c>
      <c r="BZ24" s="25">
        <f t="shared" si="3"/>
        <v>147.19999999999999</v>
      </c>
    </row>
    <row r="25" spans="2:78" s="44" customFormat="1" ht="18" customHeight="1">
      <c r="B25" s="49"/>
      <c r="C25" s="16"/>
      <c r="D25" s="224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6"/>
      <c r="Y25" s="17"/>
      <c r="AA25" s="230" t="s">
        <v>183</v>
      </c>
      <c r="AB25" s="230"/>
      <c r="AC25" s="277" t="s">
        <v>243</v>
      </c>
      <c r="AJ25" s="14"/>
      <c r="AK25" s="14"/>
      <c r="AL25" s="14"/>
      <c r="AM25" s="231" t="str">
        <f>IF(SUM(BL11:BL40)=0,"",VLOOKUP(1,BL11:BR40,7,FALSE))</f>
        <v/>
      </c>
      <c r="AN25" s="231"/>
      <c r="AO25" s="79"/>
      <c r="AS25" s="79" t="s">
        <v>25</v>
      </c>
      <c r="AU25" s="17"/>
      <c r="AV25" s="50"/>
      <c r="AZ25" s="18"/>
      <c r="BB25" s="14"/>
      <c r="BC25" s="14">
        <v>16</v>
      </c>
      <c r="BD25" s="55">
        <v>200</v>
      </c>
      <c r="BE25" s="90"/>
      <c r="BF25" s="56"/>
      <c r="BG25" s="56" t="s">
        <v>121</v>
      </c>
      <c r="BJ25" s="25">
        <f t="shared" si="1"/>
        <v>0</v>
      </c>
      <c r="BK25" s="84">
        <f>IF($BD$9&gt;700,1,0)</f>
        <v>0</v>
      </c>
      <c r="BL25" s="33">
        <f t="shared" si="0"/>
        <v>0</v>
      </c>
      <c r="BM25" s="152" t="s">
        <v>184</v>
      </c>
      <c r="BN25" s="53" t="s">
        <v>185</v>
      </c>
      <c r="BO25" s="68">
        <v>24</v>
      </c>
      <c r="BP25" s="42">
        <v>24</v>
      </c>
      <c r="BQ25" s="89">
        <v>210000</v>
      </c>
      <c r="BR25" s="24">
        <v>1.5</v>
      </c>
      <c r="BS25" s="43">
        <v>1</v>
      </c>
      <c r="BT25" s="43" t="e">
        <f>0.0084*$N$42+0.0168</f>
        <v>#VALUE!</v>
      </c>
      <c r="BV25" s="52">
        <v>200</v>
      </c>
      <c r="BW25" s="68">
        <v>11.9</v>
      </c>
      <c r="BX25" s="25">
        <f t="shared" si="4"/>
        <v>176.2</v>
      </c>
      <c r="BY25" s="68">
        <v>18.2</v>
      </c>
      <c r="BZ25" s="25">
        <f t="shared" si="3"/>
        <v>163.6</v>
      </c>
    </row>
    <row r="26" spans="2:78" s="44" customFormat="1" ht="18" customHeight="1">
      <c r="B26" s="49"/>
      <c r="C26" s="16"/>
      <c r="D26" s="224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6"/>
      <c r="Y26" s="17"/>
      <c r="Z26" s="14"/>
      <c r="AU26" s="17"/>
      <c r="AV26" s="50"/>
      <c r="AZ26" s="18"/>
      <c r="BC26" s="14">
        <v>17</v>
      </c>
      <c r="BD26" s="55">
        <v>225</v>
      </c>
      <c r="BE26" s="90"/>
      <c r="BF26" s="91">
        <v>1</v>
      </c>
      <c r="BG26" s="56"/>
      <c r="BJ26" s="92">
        <f t="shared" si="1"/>
        <v>0</v>
      </c>
      <c r="BK26" s="93">
        <f>IF($BD$9&lt;200,1,0)</f>
        <v>1</v>
      </c>
      <c r="BL26" s="93">
        <f t="shared" si="0"/>
        <v>0</v>
      </c>
      <c r="BM26" s="43" t="s">
        <v>186</v>
      </c>
      <c r="BN26" s="94" t="s">
        <v>26</v>
      </c>
      <c r="BO26" s="95">
        <v>12</v>
      </c>
      <c r="BP26" s="93">
        <v>3</v>
      </c>
      <c r="BQ26" s="96">
        <v>800</v>
      </c>
      <c r="BR26" s="97">
        <v>1.05</v>
      </c>
      <c r="BS26" s="53">
        <v>2</v>
      </c>
      <c r="BT26" s="53">
        <f t="shared" ref="BT26:BT40" si="5">0.1*BP26</f>
        <v>0.30000000000000004</v>
      </c>
      <c r="BV26" s="52">
        <v>225</v>
      </c>
      <c r="BW26" s="68">
        <v>13.4</v>
      </c>
      <c r="BX26" s="25">
        <f t="shared" si="4"/>
        <v>198.2</v>
      </c>
      <c r="BY26" s="68">
        <v>20.5</v>
      </c>
      <c r="BZ26" s="25">
        <f t="shared" si="3"/>
        <v>184</v>
      </c>
    </row>
    <row r="27" spans="2:78" s="44" customFormat="1" ht="18" customHeight="1">
      <c r="B27" s="49"/>
      <c r="C27" s="16"/>
      <c r="D27" s="227"/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9"/>
      <c r="Y27" s="17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7"/>
      <c r="AV27" s="50"/>
      <c r="AZ27" s="18"/>
      <c r="BC27" s="14">
        <v>18</v>
      </c>
      <c r="BD27" s="55">
        <v>250</v>
      </c>
      <c r="BF27" s="56"/>
      <c r="BG27" s="56" t="s">
        <v>139</v>
      </c>
      <c r="BJ27" s="25">
        <f t="shared" si="1"/>
        <v>0</v>
      </c>
      <c r="BK27" s="48">
        <f>IF(AND($BD$9&lt;=400,$BD$9&gt;=200),1,0)</f>
        <v>0</v>
      </c>
      <c r="BL27" s="33">
        <f t="shared" si="0"/>
        <v>0</v>
      </c>
      <c r="BM27" s="43" t="s">
        <v>187</v>
      </c>
      <c r="BN27" s="53" t="s">
        <v>130</v>
      </c>
      <c r="BO27" s="98">
        <v>12</v>
      </c>
      <c r="BP27" s="33">
        <v>6</v>
      </c>
      <c r="BQ27" s="96">
        <v>800</v>
      </c>
      <c r="BR27" s="88">
        <v>1.05</v>
      </c>
      <c r="BS27" s="53">
        <v>2</v>
      </c>
      <c r="BT27" s="53">
        <f t="shared" si="5"/>
        <v>0.60000000000000009</v>
      </c>
      <c r="BV27" s="52">
        <v>250</v>
      </c>
      <c r="BW27" s="68">
        <v>14.8</v>
      </c>
      <c r="BX27" s="25">
        <f t="shared" si="4"/>
        <v>220.4</v>
      </c>
      <c r="BY27" s="68">
        <v>22.8</v>
      </c>
      <c r="BZ27" s="25">
        <f t="shared" si="3"/>
        <v>204.4</v>
      </c>
    </row>
    <row r="28" spans="2:78" s="44" customFormat="1" ht="18" customHeight="1">
      <c r="B28" s="49"/>
      <c r="C28" s="58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61"/>
      <c r="Z28" s="14"/>
      <c r="AA28" s="14"/>
      <c r="AB28" s="3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61"/>
      <c r="AV28" s="50"/>
      <c r="AZ28" s="18"/>
      <c r="BC28" s="14">
        <v>19</v>
      </c>
      <c r="BD28" s="55">
        <v>280</v>
      </c>
      <c r="BF28" s="56"/>
      <c r="BG28" s="56" t="s">
        <v>140</v>
      </c>
      <c r="BJ28" s="25">
        <f t="shared" si="1"/>
        <v>0</v>
      </c>
      <c r="BK28" s="52">
        <f>IF($BD$9&gt;400,1,0)</f>
        <v>0</v>
      </c>
      <c r="BL28" s="33">
        <f t="shared" si="0"/>
        <v>0</v>
      </c>
      <c r="BM28" s="43" t="s">
        <v>188</v>
      </c>
      <c r="BN28" s="53" t="s">
        <v>27</v>
      </c>
      <c r="BO28" s="98">
        <v>12</v>
      </c>
      <c r="BP28" s="33">
        <v>12</v>
      </c>
      <c r="BQ28" s="96">
        <v>800</v>
      </c>
      <c r="BR28" s="88">
        <v>1.05</v>
      </c>
      <c r="BS28" s="88">
        <v>2</v>
      </c>
      <c r="BT28" s="53">
        <f t="shared" si="5"/>
        <v>1.2000000000000002</v>
      </c>
      <c r="BV28" s="52">
        <v>280</v>
      </c>
      <c r="BW28" s="68">
        <v>16.600000000000001</v>
      </c>
      <c r="BX28" s="25">
        <f t="shared" si="4"/>
        <v>246.8</v>
      </c>
      <c r="BY28" s="68">
        <v>25.4</v>
      </c>
      <c r="BZ28" s="25">
        <f t="shared" si="3"/>
        <v>229.2</v>
      </c>
    </row>
    <row r="29" spans="2:78" s="44" customFormat="1" ht="18" customHeight="1">
      <c r="B29" s="49"/>
      <c r="C29" s="99"/>
      <c r="D29" s="69" t="s">
        <v>91</v>
      </c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3"/>
      <c r="U29" s="13"/>
      <c r="V29" s="13"/>
      <c r="W29" s="13"/>
      <c r="X29" s="13"/>
      <c r="Y29" s="13"/>
      <c r="Z29" s="13"/>
      <c r="AA29" s="13"/>
      <c r="AB29" s="14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5"/>
      <c r="AV29" s="50"/>
      <c r="AZ29" s="18"/>
      <c r="BC29" s="14">
        <v>20</v>
      </c>
      <c r="BD29" s="55">
        <v>300</v>
      </c>
      <c r="BF29" s="56"/>
      <c r="BG29" s="56" t="s">
        <v>141</v>
      </c>
      <c r="BJ29" s="25">
        <f t="shared" si="1"/>
        <v>0</v>
      </c>
      <c r="BK29" s="93">
        <f>IF($BD$9&lt;200,1,0)</f>
        <v>1</v>
      </c>
      <c r="BL29" s="33">
        <f t="shared" si="0"/>
        <v>0</v>
      </c>
      <c r="BM29" s="43" t="s">
        <v>189</v>
      </c>
      <c r="BN29" s="94" t="s">
        <v>190</v>
      </c>
      <c r="BO29" s="98">
        <v>12</v>
      </c>
      <c r="BP29" s="98">
        <v>3</v>
      </c>
      <c r="BQ29" s="96">
        <v>800</v>
      </c>
      <c r="BR29" s="88">
        <v>1.05</v>
      </c>
      <c r="BS29" s="53">
        <v>2</v>
      </c>
      <c r="BT29" s="53">
        <f t="shared" si="5"/>
        <v>0.30000000000000004</v>
      </c>
      <c r="BV29" s="52">
        <v>315</v>
      </c>
      <c r="BW29" s="68">
        <v>18.7</v>
      </c>
      <c r="BX29" s="25">
        <f t="shared" si="4"/>
        <v>277.60000000000002</v>
      </c>
      <c r="BY29" s="68">
        <v>28.7</v>
      </c>
      <c r="BZ29" s="25">
        <f t="shared" si="3"/>
        <v>257.60000000000002</v>
      </c>
    </row>
    <row r="30" spans="2:78" s="44" customFormat="1" ht="18" customHeight="1">
      <c r="B30" s="49"/>
      <c r="C30" s="101"/>
      <c r="D30" s="102" t="s">
        <v>68</v>
      </c>
      <c r="W30" s="102" t="s">
        <v>69</v>
      </c>
      <c r="AE30" s="103"/>
      <c r="AT30" s="14"/>
      <c r="AU30" s="17"/>
      <c r="AV30" s="50"/>
      <c r="AZ30" s="18"/>
      <c r="BC30" s="14">
        <v>21</v>
      </c>
      <c r="BD30" s="55">
        <v>315</v>
      </c>
      <c r="BF30" s="56"/>
      <c r="BG30" s="56" t="s">
        <v>76</v>
      </c>
      <c r="BJ30" s="25">
        <f t="shared" si="1"/>
        <v>0</v>
      </c>
      <c r="BK30" s="48">
        <f>IF(AND($BD$9&lt;=400,$BD$9&gt;=200),1,0)</f>
        <v>0</v>
      </c>
      <c r="BL30" s="33">
        <f t="shared" si="0"/>
        <v>0</v>
      </c>
      <c r="BM30" s="43" t="s">
        <v>191</v>
      </c>
      <c r="BN30" s="53" t="s">
        <v>192</v>
      </c>
      <c r="BO30" s="98">
        <v>12</v>
      </c>
      <c r="BP30" s="98">
        <v>6</v>
      </c>
      <c r="BQ30" s="96">
        <v>800</v>
      </c>
      <c r="BR30" s="88">
        <v>1.05</v>
      </c>
      <c r="BS30" s="53">
        <v>2</v>
      </c>
      <c r="BT30" s="53">
        <f t="shared" si="5"/>
        <v>0.60000000000000009</v>
      </c>
      <c r="BV30" s="52">
        <v>355</v>
      </c>
      <c r="BW30" s="68"/>
      <c r="BX30" s="25"/>
      <c r="BY30" s="68">
        <v>32.299999999999997</v>
      </c>
      <c r="BZ30" s="25">
        <f t="shared" si="3"/>
        <v>290.39999999999998</v>
      </c>
    </row>
    <row r="31" spans="2:78" s="44" customFormat="1" ht="18" customHeight="1">
      <c r="B31" s="49"/>
      <c r="C31" s="101"/>
      <c r="D31" s="102" t="s">
        <v>92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W31" s="102" t="s">
        <v>93</v>
      </c>
      <c r="AE31" s="104"/>
      <c r="AU31" s="50"/>
      <c r="AV31" s="50"/>
      <c r="AZ31" s="105"/>
      <c r="BC31" s="14">
        <v>22</v>
      </c>
      <c r="BD31" s="55">
        <v>355</v>
      </c>
      <c r="BF31" s="56"/>
      <c r="BG31" s="56" t="s">
        <v>83</v>
      </c>
      <c r="BJ31" s="25">
        <f t="shared" si="1"/>
        <v>0</v>
      </c>
      <c r="BK31" s="52">
        <f>IF($BD$9&gt;400,1,0)</f>
        <v>0</v>
      </c>
      <c r="BL31" s="33">
        <f t="shared" si="0"/>
        <v>0</v>
      </c>
      <c r="BM31" s="43" t="s">
        <v>193</v>
      </c>
      <c r="BN31" s="53" t="s">
        <v>194</v>
      </c>
      <c r="BO31" s="98">
        <v>12</v>
      </c>
      <c r="BP31" s="98">
        <v>12</v>
      </c>
      <c r="BQ31" s="96">
        <v>800</v>
      </c>
      <c r="BR31" s="88">
        <v>1.05</v>
      </c>
      <c r="BS31" s="53">
        <v>2</v>
      </c>
      <c r="BT31" s="53">
        <f t="shared" si="5"/>
        <v>1.2000000000000002</v>
      </c>
      <c r="BV31" s="52">
        <v>400</v>
      </c>
      <c r="BW31" s="68"/>
      <c r="BX31" s="25"/>
      <c r="BY31" s="68">
        <v>36.4</v>
      </c>
      <c r="BZ31" s="25">
        <f t="shared" si="3"/>
        <v>327.2</v>
      </c>
    </row>
    <row r="32" spans="2:78" s="44" customFormat="1" ht="18" customHeight="1">
      <c r="B32" s="49"/>
      <c r="C32" s="101"/>
      <c r="D32" s="14" t="s">
        <v>70</v>
      </c>
      <c r="E32" s="14"/>
      <c r="F32" s="14"/>
      <c r="G32" s="14"/>
      <c r="H32" s="14"/>
      <c r="I32" s="14"/>
      <c r="J32" s="14"/>
      <c r="K32" s="14"/>
      <c r="L32" s="14"/>
      <c r="M32" s="217">
        <v>0</v>
      </c>
      <c r="N32" s="217"/>
      <c r="O32" s="14"/>
      <c r="P32" s="14"/>
      <c r="Q32" s="44" t="s">
        <v>94</v>
      </c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7"/>
      <c r="AV32" s="50"/>
      <c r="AZ32" s="106"/>
      <c r="BC32" s="14">
        <v>23</v>
      </c>
      <c r="BD32" s="55">
        <v>400</v>
      </c>
      <c r="BF32" s="56"/>
      <c r="BG32" s="56" t="s">
        <v>84</v>
      </c>
      <c r="BJ32" s="25">
        <f t="shared" si="1"/>
        <v>0</v>
      </c>
      <c r="BK32" s="93">
        <f>IF($BD$9&lt;200,1,0)</f>
        <v>1</v>
      </c>
      <c r="BL32" s="33">
        <f t="shared" si="0"/>
        <v>0</v>
      </c>
      <c r="BM32" s="53" t="s">
        <v>195</v>
      </c>
      <c r="BN32" s="94" t="s">
        <v>196</v>
      </c>
      <c r="BO32" s="98">
        <v>12</v>
      </c>
      <c r="BP32" s="98">
        <v>3</v>
      </c>
      <c r="BQ32" s="57">
        <v>1200</v>
      </c>
      <c r="BR32" s="88">
        <v>1.05</v>
      </c>
      <c r="BS32" s="53">
        <v>2</v>
      </c>
      <c r="BT32" s="53">
        <f t="shared" si="5"/>
        <v>0.30000000000000004</v>
      </c>
    </row>
    <row r="33" spans="2:72" s="44" customFormat="1" ht="18" customHeight="1">
      <c r="B33" s="49"/>
      <c r="C33" s="101"/>
      <c r="D33" s="54" t="s">
        <v>95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P33" s="14"/>
      <c r="Q33" s="14"/>
      <c r="R33" s="107"/>
      <c r="T33" s="217"/>
      <c r="U33" s="217"/>
      <c r="W33" s="44" t="s">
        <v>197</v>
      </c>
      <c r="X33" s="36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7"/>
      <c r="AV33" s="50"/>
      <c r="AZ33" s="106"/>
      <c r="BC33" s="14">
        <v>24</v>
      </c>
      <c r="BD33" s="55">
        <v>500</v>
      </c>
      <c r="BE33" s="108"/>
      <c r="BF33" s="56"/>
      <c r="BG33" s="56" t="s">
        <v>77</v>
      </c>
      <c r="BJ33" s="25">
        <f t="shared" si="1"/>
        <v>0</v>
      </c>
      <c r="BK33" s="48">
        <f>IF(AND($BD$9&lt;=400,$BD$9&gt;=200),1,0)</f>
        <v>0</v>
      </c>
      <c r="BL33" s="33">
        <f t="shared" si="0"/>
        <v>0</v>
      </c>
      <c r="BM33" s="53" t="s">
        <v>198</v>
      </c>
      <c r="BN33" s="53" t="s">
        <v>199</v>
      </c>
      <c r="BO33" s="98">
        <v>12</v>
      </c>
      <c r="BP33" s="98">
        <v>6</v>
      </c>
      <c r="BQ33" s="57">
        <v>1200</v>
      </c>
      <c r="BR33" s="88">
        <v>1.05</v>
      </c>
      <c r="BS33" s="53">
        <v>2</v>
      </c>
      <c r="BT33" s="53">
        <f t="shared" si="5"/>
        <v>0.60000000000000009</v>
      </c>
    </row>
    <row r="34" spans="2:72" s="44" customFormat="1" ht="18" customHeight="1">
      <c r="B34" s="49"/>
      <c r="C34" s="101"/>
      <c r="D34" s="54" t="s">
        <v>96</v>
      </c>
      <c r="E34" s="14"/>
      <c r="F34" s="14"/>
      <c r="G34" s="14"/>
      <c r="H34" s="14"/>
      <c r="I34" s="14"/>
      <c r="J34" s="14"/>
      <c r="S34" s="174" t="s">
        <v>200</v>
      </c>
      <c r="T34" s="232"/>
      <c r="U34" s="232"/>
      <c r="W34" s="44" t="s">
        <v>201</v>
      </c>
      <c r="Y34" s="14" t="s">
        <v>71</v>
      </c>
      <c r="AB34" s="14"/>
      <c r="AU34" s="17"/>
      <c r="AV34" s="50"/>
      <c r="AZ34" s="106"/>
      <c r="BC34" s="14">
        <v>25</v>
      </c>
      <c r="BD34" s="55">
        <v>600</v>
      </c>
      <c r="BE34" s="108"/>
      <c r="BJ34" s="25">
        <f t="shared" si="1"/>
        <v>0</v>
      </c>
      <c r="BK34" s="52">
        <f>IF($BD$9&gt;400,1,0)</f>
        <v>0</v>
      </c>
      <c r="BL34" s="33">
        <f t="shared" si="0"/>
        <v>0</v>
      </c>
      <c r="BM34" s="53" t="s">
        <v>202</v>
      </c>
      <c r="BN34" s="53" t="s">
        <v>203</v>
      </c>
      <c r="BO34" s="98">
        <v>12</v>
      </c>
      <c r="BP34" s="98">
        <v>12</v>
      </c>
      <c r="BQ34" s="57">
        <v>1200</v>
      </c>
      <c r="BR34" s="88">
        <v>1.05</v>
      </c>
      <c r="BS34" s="53">
        <v>2</v>
      </c>
      <c r="BT34" s="53">
        <f t="shared" si="5"/>
        <v>1.2000000000000002</v>
      </c>
    </row>
    <row r="35" spans="2:72" s="44" customFormat="1" ht="18" customHeight="1">
      <c r="B35" s="49"/>
      <c r="C35" s="101"/>
      <c r="D35" s="44" t="s">
        <v>72</v>
      </c>
      <c r="F35" s="108"/>
      <c r="T35" s="219" t="str">
        <f>IF(T34="","",IF(T33=0,T34+BI47,T34+T33))</f>
        <v/>
      </c>
      <c r="U35" s="219"/>
      <c r="W35" s="44" t="s">
        <v>204</v>
      </c>
      <c r="AD35" s="14"/>
      <c r="AU35" s="17"/>
      <c r="AV35" s="50"/>
      <c r="AX35" s="72"/>
      <c r="AZ35" s="106"/>
      <c r="BC35" s="14">
        <v>26</v>
      </c>
      <c r="BD35" s="55">
        <v>700</v>
      </c>
      <c r="BE35" s="108"/>
      <c r="BJ35" s="25">
        <f t="shared" si="1"/>
        <v>0</v>
      </c>
      <c r="BK35" s="93">
        <f>IF($BD$9&lt;200,1,0)</f>
        <v>1</v>
      </c>
      <c r="BL35" s="33">
        <f t="shared" si="0"/>
        <v>0</v>
      </c>
      <c r="BM35" s="43" t="s">
        <v>205</v>
      </c>
      <c r="BN35" s="94" t="s">
        <v>206</v>
      </c>
      <c r="BO35" s="98">
        <v>12</v>
      </c>
      <c r="BP35" s="98">
        <v>3</v>
      </c>
      <c r="BQ35" s="57">
        <v>1200</v>
      </c>
      <c r="BR35" s="88">
        <v>1.05</v>
      </c>
      <c r="BS35" s="53">
        <v>2</v>
      </c>
      <c r="BT35" s="53">
        <f t="shared" si="5"/>
        <v>0.30000000000000004</v>
      </c>
    </row>
    <row r="36" spans="2:72" s="44" customFormat="1" ht="18" customHeight="1">
      <c r="B36" s="49"/>
      <c r="C36" s="101"/>
      <c r="D36" s="44" t="s">
        <v>73</v>
      </c>
      <c r="T36" s="219" t="str">
        <f>IF(T34="","",IF(T33=0,MAX(MIN(T35*1.5,T35+5),10),MAX(T35+1,10)))</f>
        <v/>
      </c>
      <c r="U36" s="219"/>
      <c r="W36" s="44" t="s">
        <v>207</v>
      </c>
      <c r="AU36" s="17"/>
      <c r="AV36" s="50"/>
      <c r="AZ36" s="106"/>
      <c r="BC36" s="14">
        <v>27</v>
      </c>
      <c r="BD36" s="55">
        <v>800</v>
      </c>
      <c r="BE36" s="109"/>
      <c r="BJ36" s="25">
        <f t="shared" si="1"/>
        <v>0</v>
      </c>
      <c r="BK36" s="48">
        <f>IF(AND($BD$9&lt;=400,$BD$9&gt;=200),1,0)</f>
        <v>0</v>
      </c>
      <c r="BL36" s="33">
        <f t="shared" si="0"/>
        <v>0</v>
      </c>
      <c r="BM36" s="43" t="s">
        <v>208</v>
      </c>
      <c r="BN36" s="53" t="s">
        <v>209</v>
      </c>
      <c r="BO36" s="98">
        <v>12</v>
      </c>
      <c r="BP36" s="98">
        <v>6</v>
      </c>
      <c r="BQ36" s="57">
        <v>1200</v>
      </c>
      <c r="BR36" s="88">
        <v>1.05</v>
      </c>
      <c r="BS36" s="53">
        <v>2</v>
      </c>
      <c r="BT36" s="53">
        <f t="shared" si="5"/>
        <v>0.60000000000000009</v>
      </c>
    </row>
    <row r="37" spans="2:72" s="44" customFormat="1" ht="18" customHeight="1">
      <c r="B37" s="49"/>
      <c r="C37" s="101"/>
      <c r="D37" s="65" t="s">
        <v>97</v>
      </c>
      <c r="F37" s="108"/>
      <c r="T37" s="219" t="str">
        <f>IF(BH9=11,MIN(12,T36),IF(M32=0,T36,MIN(16,T36)))</f>
        <v/>
      </c>
      <c r="U37" s="219"/>
      <c r="W37" s="44" t="s">
        <v>210</v>
      </c>
      <c r="AU37" s="17"/>
      <c r="AV37" s="50"/>
      <c r="BC37" s="14">
        <v>28</v>
      </c>
      <c r="BD37" s="55">
        <v>900</v>
      </c>
      <c r="BJ37" s="25">
        <f t="shared" si="1"/>
        <v>0</v>
      </c>
      <c r="BK37" s="52">
        <f>IF($BD$9&gt;400,1,0)</f>
        <v>0</v>
      </c>
      <c r="BL37" s="33">
        <f t="shared" si="0"/>
        <v>0</v>
      </c>
      <c r="BM37" s="43" t="s">
        <v>211</v>
      </c>
      <c r="BN37" s="53" t="s">
        <v>212</v>
      </c>
      <c r="BO37" s="98">
        <v>12</v>
      </c>
      <c r="BP37" s="98">
        <v>12</v>
      </c>
      <c r="BQ37" s="57">
        <v>1200</v>
      </c>
      <c r="BR37" s="88">
        <v>1.05</v>
      </c>
      <c r="BS37" s="53">
        <v>2</v>
      </c>
      <c r="BT37" s="53">
        <f t="shared" si="5"/>
        <v>1.2000000000000002</v>
      </c>
    </row>
    <row r="38" spans="2:72" s="44" customFormat="1" ht="18" customHeight="1">
      <c r="B38" s="49"/>
      <c r="C38" s="101"/>
      <c r="D38" s="65" t="s">
        <v>74</v>
      </c>
      <c r="T38" s="219" t="str">
        <f>IF(T34="","",IF(T33="",1.1*T35,1.1*T34))</f>
        <v/>
      </c>
      <c r="U38" s="219"/>
      <c r="W38" s="44" t="s">
        <v>213</v>
      </c>
      <c r="AU38" s="17"/>
      <c r="AV38" s="50"/>
      <c r="AY38" s="45"/>
      <c r="BC38" s="14">
        <v>29</v>
      </c>
      <c r="BD38" s="55">
        <v>1000</v>
      </c>
      <c r="BJ38" s="25">
        <f t="shared" si="1"/>
        <v>0</v>
      </c>
      <c r="BK38" s="93">
        <f>IF($BD$9&lt;200,1,0)</f>
        <v>1</v>
      </c>
      <c r="BL38" s="33">
        <f t="shared" si="0"/>
        <v>0</v>
      </c>
      <c r="BM38" s="53" t="s">
        <v>214</v>
      </c>
      <c r="BN38" s="94" t="s">
        <v>215</v>
      </c>
      <c r="BO38" s="98">
        <v>12</v>
      </c>
      <c r="BP38" s="98">
        <v>3</v>
      </c>
      <c r="BQ38" s="57" t="s">
        <v>28</v>
      </c>
      <c r="BR38" s="88">
        <v>1.05</v>
      </c>
      <c r="BS38" s="53">
        <v>1</v>
      </c>
      <c r="BT38" s="53">
        <f t="shared" si="5"/>
        <v>0.30000000000000004</v>
      </c>
    </row>
    <row r="39" spans="2:72" s="44" customFormat="1" ht="18" customHeight="1">
      <c r="B39" s="49"/>
      <c r="C39" s="101"/>
      <c r="D39" s="44" t="s">
        <v>98</v>
      </c>
      <c r="V39" s="233" t="str">
        <f>IF(T34="","",POWER(INDEX(BD10:BD38,BC9)/1000,2)*PI()/4*N42*100000)</f>
        <v/>
      </c>
      <c r="W39" s="234"/>
      <c r="X39" s="234"/>
      <c r="Y39" s="65" t="s">
        <v>29</v>
      </c>
      <c r="AU39" s="17"/>
      <c r="AV39" s="50"/>
      <c r="BC39" s="14"/>
      <c r="BJ39" s="25">
        <f t="shared" si="1"/>
        <v>0</v>
      </c>
      <c r="BK39" s="48">
        <f>IF(AND($BD$9&lt;=400,$BD$9&gt;=200),1,0)</f>
        <v>0</v>
      </c>
      <c r="BL39" s="33">
        <f t="shared" si="0"/>
        <v>0</v>
      </c>
      <c r="BM39" s="53" t="s">
        <v>216</v>
      </c>
      <c r="BN39" s="53" t="s">
        <v>217</v>
      </c>
      <c r="BO39" s="98">
        <v>12</v>
      </c>
      <c r="BP39" s="98">
        <v>6</v>
      </c>
      <c r="BQ39" s="57" t="s">
        <v>218</v>
      </c>
      <c r="BR39" s="88">
        <v>1.05</v>
      </c>
      <c r="BS39" s="53">
        <v>1</v>
      </c>
      <c r="BT39" s="53">
        <f t="shared" si="5"/>
        <v>0.60000000000000009</v>
      </c>
    </row>
    <row r="40" spans="2:72" s="44" customFormat="1" ht="18" customHeight="1">
      <c r="B40" s="49"/>
      <c r="C40" s="110"/>
      <c r="D40" s="111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112"/>
      <c r="U40" s="112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61"/>
      <c r="AV40" s="50"/>
      <c r="BC40" s="14"/>
      <c r="BJ40" s="25">
        <f t="shared" si="1"/>
        <v>0</v>
      </c>
      <c r="BK40" s="52">
        <f>IF($BD$9&gt;400,1,0)</f>
        <v>0</v>
      </c>
      <c r="BL40" s="33">
        <f t="shared" si="0"/>
        <v>0</v>
      </c>
      <c r="BM40" s="53" t="s">
        <v>219</v>
      </c>
      <c r="BN40" s="53" t="s">
        <v>220</v>
      </c>
      <c r="BO40" s="98">
        <v>12</v>
      </c>
      <c r="BP40" s="98">
        <v>12</v>
      </c>
      <c r="BQ40" s="57" t="s">
        <v>221</v>
      </c>
      <c r="BR40" s="88">
        <v>1.05</v>
      </c>
      <c r="BS40" s="53">
        <v>1</v>
      </c>
      <c r="BT40" s="53">
        <f t="shared" si="5"/>
        <v>1.2000000000000002</v>
      </c>
    </row>
    <row r="41" spans="2:72" s="44" customFormat="1" ht="18" customHeight="1">
      <c r="B41" s="49"/>
      <c r="C41" s="101"/>
      <c r="D41" s="113" t="s">
        <v>78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50"/>
      <c r="AV41" s="50"/>
      <c r="AX41" s="115"/>
      <c r="BC41" s="14"/>
    </row>
    <row r="42" spans="2:72" s="44" customFormat="1" ht="18" customHeight="1">
      <c r="B42" s="49"/>
      <c r="C42" s="101"/>
      <c r="D42" s="65" t="s">
        <v>99</v>
      </c>
      <c r="E42" s="14"/>
      <c r="F42" s="14"/>
      <c r="G42" s="14"/>
      <c r="H42" s="14"/>
      <c r="I42" s="14"/>
      <c r="J42" s="46"/>
      <c r="N42" s="235" t="str">
        <f>T37</f>
        <v/>
      </c>
      <c r="O42" s="235"/>
      <c r="P42" s="14" t="s">
        <v>222</v>
      </c>
      <c r="Q42" s="14"/>
      <c r="S42" s="14" t="s">
        <v>100</v>
      </c>
      <c r="T42" s="14"/>
      <c r="U42" s="14"/>
      <c r="V42" s="14"/>
      <c r="W42" s="14"/>
      <c r="X42" s="14"/>
      <c r="Z42" s="236" t="str">
        <f>IF(SUM(BL11:BL40)=0,"",VLOOKUP(1,BL9:BR40,4,FALSE))</f>
        <v/>
      </c>
      <c r="AA42" s="236"/>
      <c r="AB42" s="113" t="s">
        <v>103</v>
      </c>
      <c r="AC42" s="14"/>
      <c r="AD42" s="14"/>
      <c r="AI42" s="237" t="s">
        <v>101</v>
      </c>
      <c r="AJ42" s="237"/>
      <c r="AK42" s="237"/>
      <c r="AM42" s="245" t="s">
        <v>81</v>
      </c>
      <c r="AN42" s="246"/>
      <c r="AO42" s="247"/>
      <c r="AR42" s="237" t="s">
        <v>102</v>
      </c>
      <c r="AS42" s="237"/>
      <c r="AT42" s="237"/>
      <c r="AU42" s="17"/>
      <c r="AV42" s="50"/>
      <c r="AW42" s="116"/>
      <c r="BC42" s="14"/>
    </row>
    <row r="43" spans="2:72" s="44" customFormat="1" ht="18" customHeight="1">
      <c r="B43" s="49"/>
      <c r="C43" s="101"/>
      <c r="D43" s="65" t="s">
        <v>104</v>
      </c>
      <c r="X43" s="44" t="s">
        <v>105</v>
      </c>
      <c r="Y43" s="14"/>
      <c r="Z43" s="14"/>
      <c r="AA43" s="14"/>
      <c r="AB43" s="14"/>
      <c r="AC43" s="14"/>
      <c r="AI43" s="238" t="s">
        <v>30</v>
      </c>
      <c r="AJ43" s="238"/>
      <c r="AK43" s="238"/>
      <c r="AM43" s="239" t="str">
        <f>N42</f>
        <v/>
      </c>
      <c r="AN43" s="240"/>
      <c r="AO43" s="241"/>
      <c r="AQ43" s="117" t="s">
        <v>31</v>
      </c>
      <c r="AR43" s="242"/>
      <c r="AS43" s="242"/>
      <c r="AT43" s="242"/>
      <c r="AU43" s="17"/>
      <c r="AV43" s="50"/>
    </row>
    <row r="44" spans="2:72" s="44" customFormat="1" ht="18" customHeight="1" thickBot="1">
      <c r="B44" s="49"/>
      <c r="C44" s="101"/>
      <c r="D44" s="14" t="s">
        <v>107</v>
      </c>
      <c r="P44" s="243" t="str">
        <f>IF(ISERROR(VLOOKUP(1,BL9:BS40,8,FALSE)),"",VLOOKUP(1,BL9:BS40,8,FALSE))</f>
        <v/>
      </c>
      <c r="Q44" s="243"/>
      <c r="R44" s="243"/>
      <c r="S44" s="113" t="s">
        <v>223</v>
      </c>
      <c r="T44" s="113"/>
      <c r="X44" s="44" t="s">
        <v>106</v>
      </c>
      <c r="AI44" s="238" t="s">
        <v>224</v>
      </c>
      <c r="AJ44" s="238"/>
      <c r="AK44" s="238"/>
      <c r="AM44" s="239" t="str">
        <f>IF(AM43="","",AM43-P44)</f>
        <v/>
      </c>
      <c r="AN44" s="240"/>
      <c r="AO44" s="241"/>
      <c r="AQ44" s="117" t="s">
        <v>32</v>
      </c>
      <c r="AR44" s="244"/>
      <c r="AS44" s="244"/>
      <c r="AT44" s="244"/>
      <c r="AU44" s="17"/>
      <c r="AV44" s="50"/>
      <c r="AZ44" s="44" t="s">
        <v>63</v>
      </c>
    </row>
    <row r="45" spans="2:72" s="44" customFormat="1" ht="18" customHeight="1" thickBot="1">
      <c r="B45" s="49"/>
      <c r="C45" s="101"/>
      <c r="D45" s="54" t="s">
        <v>138</v>
      </c>
      <c r="P45" s="216"/>
      <c r="Q45" s="216"/>
      <c r="R45" s="216"/>
      <c r="S45" s="113" t="s">
        <v>225</v>
      </c>
      <c r="T45" s="113"/>
      <c r="X45" s="44" t="s">
        <v>118</v>
      </c>
      <c r="Y45" s="65"/>
      <c r="AD45" s="257" t="str">
        <f>AM18</f>
        <v/>
      </c>
      <c r="AE45" s="257"/>
      <c r="AF45" s="257"/>
      <c r="AG45" s="118" t="s">
        <v>33</v>
      </c>
      <c r="AH45" s="243" t="str">
        <f>P44</f>
        <v/>
      </c>
      <c r="AI45" s="236"/>
      <c r="AJ45" s="113" t="s">
        <v>34</v>
      </c>
      <c r="AK45" s="113" t="s">
        <v>35</v>
      </c>
      <c r="AL45" s="113"/>
      <c r="AM45" s="113"/>
      <c r="AN45" s="113" t="s">
        <v>36</v>
      </c>
      <c r="AO45" s="113"/>
      <c r="AP45" s="119" t="s">
        <v>37</v>
      </c>
      <c r="AR45" s="248" t="str">
        <f>IF(AR44="","",AM18/P44*(AR43-AR44))</f>
        <v/>
      </c>
      <c r="AS45" s="249"/>
      <c r="AT45" s="250"/>
      <c r="AU45" s="50" t="s">
        <v>226</v>
      </c>
      <c r="AV45" s="50"/>
      <c r="AZ45" s="44" t="s">
        <v>64</v>
      </c>
    </row>
    <row r="46" spans="2:72" s="44" customFormat="1" ht="18" customHeight="1">
      <c r="B46" s="49"/>
      <c r="C46" s="110"/>
      <c r="D46" s="59"/>
      <c r="E46" s="59"/>
      <c r="F46" s="59"/>
      <c r="G46" s="59"/>
      <c r="H46" s="59"/>
      <c r="I46" s="59"/>
      <c r="J46" s="59"/>
      <c r="K46" s="59"/>
      <c r="L46" s="59"/>
      <c r="M46" s="251" t="str">
        <f>IF(P45="","Druckabfallprüfung erfolgreich : JA / NEIN (anstreichen)",IF(P45&lt;=AR45,"Druckabfallprüfung erfolgreich","Kontrolle, Leitung schlecht entlüftet"))</f>
        <v>Druckabfallprüfung erfolgreich : JA / NEIN (anstreichen)</v>
      </c>
      <c r="N46" s="251"/>
      <c r="O46" s="251"/>
      <c r="P46" s="251"/>
      <c r="Q46" s="251"/>
      <c r="R46" s="251"/>
      <c r="S46" s="251"/>
      <c r="T46" s="251"/>
      <c r="U46" s="251"/>
      <c r="V46" s="251"/>
      <c r="W46" s="251"/>
      <c r="X46" s="251"/>
      <c r="Y46" s="251"/>
      <c r="Z46" s="251"/>
      <c r="AA46" s="251"/>
      <c r="AB46" s="251"/>
      <c r="AC46" s="251"/>
      <c r="AD46" s="251"/>
      <c r="AE46" s="251"/>
      <c r="AF46" s="251"/>
      <c r="AG46" s="251"/>
      <c r="AH46" s="251"/>
      <c r="AI46" s="251"/>
      <c r="AJ46" s="251"/>
      <c r="AK46" s="251"/>
      <c r="AL46" s="59"/>
      <c r="AN46" s="120"/>
      <c r="AO46" s="59"/>
      <c r="AP46" s="59"/>
      <c r="AQ46" s="59"/>
      <c r="AR46" s="59"/>
      <c r="AS46" s="59"/>
      <c r="AT46" s="59"/>
      <c r="AU46" s="61"/>
      <c r="AV46" s="50"/>
      <c r="AZ46" s="65" t="s">
        <v>65</v>
      </c>
      <c r="BG46" s="1" t="s">
        <v>227</v>
      </c>
      <c r="BH46" s="55"/>
      <c r="BI46" s="90"/>
      <c r="BJ46" s="90"/>
      <c r="BK46" s="90"/>
      <c r="BL46" s="90"/>
      <c r="BM46" s="90"/>
    </row>
    <row r="47" spans="2:72" s="44" customFormat="1" ht="18" customHeight="1">
      <c r="B47" s="49"/>
      <c r="C47" s="101"/>
      <c r="D47" s="113" t="s">
        <v>79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3"/>
      <c r="AE47" s="121"/>
      <c r="AF47" s="121"/>
      <c r="AG47" s="121"/>
      <c r="AH47" s="100"/>
      <c r="AI47" s="122"/>
      <c r="AJ47" s="122"/>
      <c r="AK47" s="122"/>
      <c r="AL47" s="13"/>
      <c r="AM47" s="13"/>
      <c r="AN47" s="14"/>
      <c r="AO47" s="14"/>
      <c r="AP47" s="14"/>
      <c r="AQ47" s="14"/>
      <c r="AR47" s="14"/>
      <c r="AS47" s="14"/>
      <c r="AT47" s="14"/>
      <c r="AU47" s="17"/>
      <c r="AV47" s="50"/>
      <c r="AZ47" s="65" t="s">
        <v>66</v>
      </c>
      <c r="BG47" s="14" t="s">
        <v>82</v>
      </c>
      <c r="BH47" s="55"/>
      <c r="BI47" s="90">
        <v>2</v>
      </c>
      <c r="BJ47" s="90"/>
      <c r="BK47" s="90"/>
      <c r="BL47" s="90"/>
    </row>
    <row r="48" spans="2:72" s="44" customFormat="1" ht="18" customHeight="1">
      <c r="B48" s="49"/>
      <c r="C48" s="49"/>
      <c r="D48" s="65" t="s">
        <v>114</v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235" t="str">
        <f>IF(AM43="","",AM43)</f>
        <v/>
      </c>
      <c r="Q48" s="235"/>
      <c r="R48" s="14" t="s">
        <v>228</v>
      </c>
      <c r="S48" s="14"/>
      <c r="X48" s="14" t="s">
        <v>115</v>
      </c>
      <c r="AC48" s="14"/>
      <c r="AI48" s="252" t="s">
        <v>229</v>
      </c>
      <c r="AJ48" s="252"/>
      <c r="AK48" s="252"/>
      <c r="AM48" s="253"/>
      <c r="AN48" s="254"/>
      <c r="AO48" s="255"/>
      <c r="AP48" s="14"/>
      <c r="AQ48" s="14"/>
      <c r="AR48" s="14"/>
      <c r="AS48" s="14"/>
      <c r="AT48" s="14"/>
      <c r="AU48" s="17"/>
      <c r="AV48" s="50"/>
      <c r="AZ48" s="65" t="s">
        <v>67</v>
      </c>
    </row>
    <row r="49" spans="1:68" s="44" customFormat="1" ht="18" customHeight="1">
      <c r="B49" s="49"/>
      <c r="C49" s="123"/>
      <c r="D49" s="14" t="s">
        <v>119</v>
      </c>
      <c r="E49" s="65"/>
      <c r="F49" s="14"/>
      <c r="G49" s="14"/>
      <c r="H49" s="258" t="str">
        <f>IF(SUM(BL11:BL40)=0,"",VLOOKUP(1,BL9:BR40,5,FALSE))</f>
        <v/>
      </c>
      <c r="I49" s="258"/>
      <c r="J49" s="124" t="s">
        <v>230</v>
      </c>
      <c r="K49" s="125"/>
      <c r="T49" s="126"/>
      <c r="U49" s="35"/>
      <c r="V49" s="35"/>
      <c r="X49" s="35"/>
      <c r="Y49" s="35"/>
      <c r="Z49" s="36"/>
      <c r="AA49" s="36"/>
      <c r="AB49" s="14"/>
      <c r="AC49" s="14"/>
      <c r="AD49" s="14"/>
      <c r="AI49" s="252" t="s">
        <v>231</v>
      </c>
      <c r="AJ49" s="252"/>
      <c r="AK49" s="252"/>
      <c r="AM49" s="253"/>
      <c r="AN49" s="254"/>
      <c r="AO49" s="255"/>
      <c r="AP49" s="14"/>
      <c r="AQ49" s="14"/>
      <c r="AR49" s="14"/>
      <c r="AS49" s="14"/>
      <c r="AT49" s="14"/>
      <c r="AU49" s="17"/>
      <c r="AV49" s="50"/>
      <c r="AX49" s="127"/>
      <c r="BG49" s="44" t="s">
        <v>80</v>
      </c>
    </row>
    <row r="50" spans="1:68" s="44" customFormat="1" ht="18" customHeight="1">
      <c r="B50" s="49"/>
      <c r="C50" s="101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V50" s="127"/>
      <c r="X50" s="127"/>
      <c r="Y50" s="127"/>
      <c r="Z50" s="127"/>
      <c r="AA50" s="127"/>
      <c r="AC50" s="127"/>
      <c r="AD50" s="127"/>
      <c r="AI50" s="259" t="s">
        <v>232</v>
      </c>
      <c r="AJ50" s="259"/>
      <c r="AK50" s="259"/>
      <c r="AM50" s="253"/>
      <c r="AN50" s="254"/>
      <c r="AO50" s="255"/>
      <c r="AP50" s="128"/>
      <c r="AQ50" s="128"/>
      <c r="AR50" s="128"/>
      <c r="AS50" s="128"/>
      <c r="AT50" s="128"/>
      <c r="AU50" s="17"/>
      <c r="AV50" s="50"/>
      <c r="AX50" s="127"/>
      <c r="AZ50" s="65"/>
      <c r="BD50" s="127"/>
      <c r="BE50" s="127"/>
      <c r="BG50" s="160" t="s">
        <v>233</v>
      </c>
      <c r="BH50" s="160" t="s">
        <v>120</v>
      </c>
      <c r="BO50" s="14"/>
      <c r="BP50" s="14"/>
    </row>
    <row r="51" spans="1:68" s="44" customFormat="1" ht="18" customHeight="1">
      <c r="B51" s="49"/>
      <c r="C51" s="101"/>
      <c r="D51" s="65" t="s">
        <v>117</v>
      </c>
      <c r="E51" s="14"/>
      <c r="F51" s="14"/>
      <c r="G51" s="14"/>
      <c r="H51" s="126"/>
      <c r="I51" s="126"/>
      <c r="J51" s="35"/>
      <c r="K51" s="35"/>
      <c r="Q51" s="256" t="str">
        <f>IF(ISERROR(VLOOKUP(1,BL10:BT40,9,FALSE)),"",ROUND(VLOOKUP(1,BL10:BT40,9,FALSE),2))</f>
        <v/>
      </c>
      <c r="R51" s="256"/>
      <c r="S51" s="129"/>
      <c r="T51" s="127" t="s">
        <v>234</v>
      </c>
      <c r="X51" s="14" t="s">
        <v>116</v>
      </c>
      <c r="Z51" s="14"/>
      <c r="AI51" s="252" t="s">
        <v>235</v>
      </c>
      <c r="AJ51" s="252"/>
      <c r="AK51" s="252"/>
      <c r="AM51" s="253"/>
      <c r="AN51" s="254"/>
      <c r="AO51" s="255"/>
      <c r="AP51" s="128"/>
      <c r="AQ51" s="128"/>
      <c r="AR51" s="128"/>
      <c r="AS51" s="128"/>
      <c r="AT51" s="128"/>
      <c r="AU51" s="17"/>
      <c r="AV51" s="50"/>
      <c r="AX51" s="127"/>
      <c r="AZ51" s="65"/>
      <c r="BA51" s="127"/>
      <c r="BB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</row>
    <row r="52" spans="1:68" s="127" customFormat="1" ht="18.75" customHeight="1">
      <c r="A52" s="44"/>
      <c r="B52" s="49"/>
      <c r="C52" s="110"/>
      <c r="D52" s="59"/>
      <c r="E52" s="59"/>
      <c r="F52" s="59"/>
      <c r="G52" s="59"/>
      <c r="H52" s="59"/>
      <c r="I52" s="59"/>
      <c r="J52" s="59"/>
      <c r="K52" s="59"/>
      <c r="L52" s="59"/>
      <c r="M52" s="251" t="str">
        <f>IF(AM51="","Hauptprüfung erfolgreich : JA / NEIN (anstreichen)",IF(AM51+Q51&gt;=MAX(AM48:AM51),"PRÜFUNG ERFOLGREICH !","KONTROLLE !"))</f>
        <v>Hauptprüfung erfolgreich : JA / NEIN (anstreichen)</v>
      </c>
      <c r="N52" s="251"/>
      <c r="O52" s="251"/>
      <c r="P52" s="251"/>
      <c r="Q52" s="251"/>
      <c r="R52" s="251"/>
      <c r="S52" s="251"/>
      <c r="T52" s="251"/>
      <c r="U52" s="251"/>
      <c r="V52" s="251"/>
      <c r="W52" s="251"/>
      <c r="X52" s="251"/>
      <c r="Y52" s="251"/>
      <c r="Z52" s="251"/>
      <c r="AA52" s="251"/>
      <c r="AB52" s="251"/>
      <c r="AC52" s="251"/>
      <c r="AD52" s="251"/>
      <c r="AE52" s="251"/>
      <c r="AF52" s="251"/>
      <c r="AG52" s="251"/>
      <c r="AH52" s="251"/>
      <c r="AI52" s="251"/>
      <c r="AJ52" s="251"/>
      <c r="AK52" s="251"/>
      <c r="AL52" s="112"/>
      <c r="AM52" s="130"/>
      <c r="AN52" s="59"/>
      <c r="AO52" s="59"/>
      <c r="AP52" s="59"/>
      <c r="AQ52" s="59"/>
      <c r="AR52" s="59"/>
      <c r="AS52" s="59"/>
      <c r="AT52" s="59"/>
      <c r="AU52" s="61"/>
      <c r="AV52" s="50"/>
      <c r="AW52" s="44"/>
      <c r="AZ52" s="65"/>
    </row>
    <row r="53" spans="1:68" s="127" customFormat="1" ht="12.75" customHeight="1">
      <c r="A53" s="44"/>
      <c r="B53" s="49"/>
      <c r="C53" s="101"/>
      <c r="D53" s="74" t="s">
        <v>236</v>
      </c>
      <c r="AB53" s="44"/>
      <c r="AU53" s="17"/>
      <c r="AV53" s="50"/>
      <c r="AW53" s="44"/>
      <c r="BC53" s="65"/>
    </row>
    <row r="54" spans="1:68" s="127" customFormat="1" ht="18" customHeight="1">
      <c r="A54" s="44"/>
      <c r="B54" s="49"/>
      <c r="C54" s="101"/>
      <c r="D54" s="261"/>
      <c r="E54" s="262"/>
      <c r="F54" s="262"/>
      <c r="G54" s="262"/>
      <c r="H54" s="262"/>
      <c r="I54" s="262"/>
      <c r="J54" s="262"/>
      <c r="K54" s="262"/>
      <c r="L54" s="262"/>
      <c r="M54" s="262"/>
      <c r="N54" s="262"/>
      <c r="O54" s="262"/>
      <c r="P54" s="262"/>
      <c r="Q54" s="262"/>
      <c r="R54" s="262"/>
      <c r="S54" s="262"/>
      <c r="T54" s="262"/>
      <c r="U54" s="262"/>
      <c r="V54" s="262"/>
      <c r="W54" s="262"/>
      <c r="X54" s="262"/>
      <c r="Y54" s="262"/>
      <c r="Z54" s="262"/>
      <c r="AA54" s="262"/>
      <c r="AB54" s="262"/>
      <c r="AC54" s="262"/>
      <c r="AD54" s="262"/>
      <c r="AE54" s="262"/>
      <c r="AF54" s="262"/>
      <c r="AG54" s="262"/>
      <c r="AH54" s="262"/>
      <c r="AI54" s="262"/>
      <c r="AJ54" s="262"/>
      <c r="AK54" s="262"/>
      <c r="AL54" s="262"/>
      <c r="AM54" s="262"/>
      <c r="AN54" s="262"/>
      <c r="AO54" s="262"/>
      <c r="AP54" s="262"/>
      <c r="AQ54" s="262"/>
      <c r="AR54" s="262"/>
      <c r="AS54" s="262"/>
      <c r="AT54" s="263"/>
      <c r="AU54" s="17"/>
      <c r="AV54" s="50"/>
      <c r="AW54" s="44"/>
    </row>
    <row r="55" spans="1:68" s="127" customFormat="1" ht="18" customHeight="1">
      <c r="A55" s="44"/>
      <c r="B55" s="49"/>
      <c r="C55" s="101"/>
      <c r="D55" s="264"/>
      <c r="E55" s="265"/>
      <c r="F55" s="265"/>
      <c r="G55" s="265"/>
      <c r="H55" s="265"/>
      <c r="I55" s="265"/>
      <c r="J55" s="265"/>
      <c r="K55" s="265"/>
      <c r="L55" s="265"/>
      <c r="M55" s="265"/>
      <c r="N55" s="265"/>
      <c r="O55" s="265"/>
      <c r="P55" s="265"/>
      <c r="Q55" s="265"/>
      <c r="R55" s="265"/>
      <c r="S55" s="265"/>
      <c r="T55" s="265"/>
      <c r="U55" s="265"/>
      <c r="V55" s="265"/>
      <c r="W55" s="265"/>
      <c r="X55" s="265"/>
      <c r="Y55" s="265"/>
      <c r="Z55" s="265"/>
      <c r="AA55" s="265"/>
      <c r="AB55" s="265"/>
      <c r="AC55" s="265"/>
      <c r="AD55" s="265"/>
      <c r="AE55" s="265"/>
      <c r="AF55" s="265"/>
      <c r="AG55" s="265"/>
      <c r="AH55" s="265"/>
      <c r="AI55" s="265"/>
      <c r="AJ55" s="265"/>
      <c r="AK55" s="265"/>
      <c r="AL55" s="265"/>
      <c r="AM55" s="265"/>
      <c r="AN55" s="265"/>
      <c r="AO55" s="265"/>
      <c r="AP55" s="265"/>
      <c r="AQ55" s="265"/>
      <c r="AR55" s="265"/>
      <c r="AS55" s="265"/>
      <c r="AT55" s="266"/>
      <c r="AU55" s="17"/>
      <c r="AV55" s="50"/>
      <c r="AW55" s="44"/>
    </row>
    <row r="56" spans="1:68" s="127" customFormat="1" ht="18" customHeight="1">
      <c r="A56" s="44"/>
      <c r="B56" s="16"/>
      <c r="C56" s="101"/>
      <c r="D56" s="267"/>
      <c r="E56" s="268"/>
      <c r="F56" s="268"/>
      <c r="G56" s="268"/>
      <c r="H56" s="268"/>
      <c r="I56" s="268"/>
      <c r="J56" s="268"/>
      <c r="K56" s="268"/>
      <c r="L56" s="268"/>
      <c r="M56" s="268"/>
      <c r="N56" s="268"/>
      <c r="O56" s="268"/>
      <c r="P56" s="268"/>
      <c r="Q56" s="268"/>
      <c r="R56" s="268"/>
      <c r="S56" s="268"/>
      <c r="T56" s="268"/>
      <c r="U56" s="268"/>
      <c r="V56" s="268"/>
      <c r="W56" s="268"/>
      <c r="X56" s="268"/>
      <c r="Y56" s="268"/>
      <c r="Z56" s="268"/>
      <c r="AA56" s="268"/>
      <c r="AB56" s="268"/>
      <c r="AC56" s="268"/>
      <c r="AD56" s="268"/>
      <c r="AE56" s="268"/>
      <c r="AF56" s="268"/>
      <c r="AG56" s="268"/>
      <c r="AH56" s="268"/>
      <c r="AI56" s="268"/>
      <c r="AJ56" s="268"/>
      <c r="AK56" s="268"/>
      <c r="AL56" s="268"/>
      <c r="AM56" s="268"/>
      <c r="AN56" s="268"/>
      <c r="AO56" s="268"/>
      <c r="AP56" s="268"/>
      <c r="AQ56" s="268"/>
      <c r="AR56" s="268"/>
      <c r="AS56" s="268"/>
      <c r="AT56" s="269"/>
      <c r="AU56" s="17"/>
      <c r="AV56" s="17"/>
      <c r="AW56" s="44"/>
    </row>
    <row r="57" spans="1:68" s="127" customFormat="1" ht="6.75" customHeight="1">
      <c r="A57" s="44"/>
      <c r="B57" s="49"/>
      <c r="C57" s="110"/>
      <c r="D57" s="59"/>
      <c r="E57" s="59"/>
      <c r="F57" s="59"/>
      <c r="G57" s="59"/>
      <c r="H57" s="59"/>
      <c r="I57" s="59"/>
      <c r="J57" s="59"/>
      <c r="K57" s="59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14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61"/>
      <c r="AV57" s="50"/>
      <c r="AW57" s="44"/>
    </row>
    <row r="58" spans="1:68" s="127" customFormat="1" ht="6" customHeight="1">
      <c r="A58" s="44"/>
      <c r="B58" s="16"/>
      <c r="C58" s="131"/>
      <c r="D58" s="4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67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7"/>
      <c r="AW58" s="44"/>
    </row>
    <row r="59" spans="1:68" s="127" customFormat="1" ht="18" customHeight="1">
      <c r="A59" s="44"/>
      <c r="B59" s="16"/>
      <c r="C59" s="99"/>
      <c r="D59" s="132" t="s">
        <v>108</v>
      </c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2"/>
      <c r="T59" s="27" t="s">
        <v>111</v>
      </c>
      <c r="U59" s="13"/>
      <c r="V59" s="13"/>
      <c r="W59" s="13"/>
      <c r="X59" s="13"/>
      <c r="Y59" s="13"/>
      <c r="Z59" s="13"/>
      <c r="AA59" s="13"/>
      <c r="AB59" s="14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5"/>
      <c r="AV59" s="17"/>
      <c r="AW59" s="44"/>
    </row>
    <row r="60" spans="1:68" s="127" customFormat="1" ht="18.75" customHeight="1">
      <c r="A60" s="14"/>
      <c r="B60" s="16"/>
      <c r="C60" s="16"/>
      <c r="D60" s="44" t="s">
        <v>109</v>
      </c>
      <c r="E60" s="14"/>
      <c r="F60" s="14"/>
      <c r="G60" s="14"/>
      <c r="H60" s="14"/>
      <c r="I60" s="270"/>
      <c r="J60" s="271"/>
      <c r="K60" s="271"/>
      <c r="L60" s="271"/>
      <c r="M60" s="270"/>
      <c r="N60" s="271"/>
      <c r="O60" s="271"/>
      <c r="P60" s="271"/>
      <c r="Q60" s="133"/>
      <c r="R60" s="14"/>
      <c r="S60" s="16"/>
      <c r="X60" s="14" t="s">
        <v>112</v>
      </c>
      <c r="AA60" s="44"/>
      <c r="AB60" s="14"/>
      <c r="AC60" s="14"/>
      <c r="AD60" s="14"/>
      <c r="AE60" s="14"/>
      <c r="AF60" s="14"/>
      <c r="AG60" s="14"/>
      <c r="AH60" s="270"/>
      <c r="AI60" s="271"/>
      <c r="AJ60" s="271"/>
      <c r="AK60" s="271"/>
      <c r="AL60" s="44"/>
      <c r="AM60" s="44"/>
      <c r="AN60" s="44" t="s">
        <v>113</v>
      </c>
      <c r="AO60" s="134"/>
      <c r="AP60" s="134"/>
      <c r="AQ60" s="270"/>
      <c r="AR60" s="271"/>
      <c r="AS60" s="271"/>
      <c r="AT60" s="271"/>
      <c r="AU60" s="17"/>
      <c r="AV60" s="17"/>
      <c r="AW60" s="37"/>
    </row>
    <row r="61" spans="1:68" s="127" customFormat="1" ht="18" customHeight="1">
      <c r="A61" s="14"/>
      <c r="B61" s="16"/>
      <c r="C61" s="16"/>
      <c r="D61" s="44" t="s">
        <v>110</v>
      </c>
      <c r="E61" s="14"/>
      <c r="F61" s="14"/>
      <c r="H61" s="14"/>
      <c r="I61" s="270"/>
      <c r="J61" s="271"/>
      <c r="K61" s="271"/>
      <c r="L61" s="271"/>
      <c r="M61" s="270"/>
      <c r="N61" s="271"/>
      <c r="O61" s="271"/>
      <c r="P61" s="271"/>
      <c r="Q61" s="133"/>
      <c r="R61" s="14"/>
      <c r="S61" s="16"/>
      <c r="X61" s="14"/>
      <c r="AA61" s="44"/>
      <c r="AB61" s="14"/>
      <c r="AC61" s="14"/>
      <c r="AD61" s="14"/>
      <c r="AE61" s="14"/>
      <c r="AF61" s="14"/>
      <c r="AG61" s="14"/>
      <c r="AH61" s="272"/>
      <c r="AI61" s="272"/>
      <c r="AJ61" s="272"/>
      <c r="AK61" s="134"/>
      <c r="AL61" s="44"/>
      <c r="AM61" s="44"/>
      <c r="AU61" s="17"/>
      <c r="AV61" s="17"/>
      <c r="AW61" s="37"/>
    </row>
    <row r="62" spans="1:68" s="127" customFormat="1" ht="18" customHeight="1">
      <c r="A62" s="14"/>
      <c r="B62" s="16"/>
      <c r="C62" s="135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58"/>
      <c r="T62" s="3"/>
      <c r="U62" s="3"/>
      <c r="V62" s="3"/>
      <c r="W62" s="3"/>
      <c r="X62" s="3"/>
      <c r="Y62" s="136"/>
      <c r="Z62" s="59"/>
      <c r="AB62" s="44"/>
      <c r="AQ62" s="59"/>
      <c r="AR62" s="59"/>
      <c r="AS62" s="59"/>
      <c r="AT62" s="59"/>
      <c r="AU62" s="61"/>
      <c r="AV62" s="17"/>
      <c r="AW62" s="37"/>
    </row>
    <row r="63" spans="1:68" s="127" customFormat="1" ht="10.5" customHeight="1">
      <c r="A63" s="14"/>
      <c r="B63" s="58"/>
      <c r="C63" s="175" t="s">
        <v>142</v>
      </c>
      <c r="D63" s="137"/>
      <c r="E63" s="138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40"/>
      <c r="T63" s="140"/>
      <c r="U63" s="140"/>
      <c r="V63" s="140"/>
      <c r="W63" s="140"/>
      <c r="X63" s="140"/>
      <c r="Y63" s="141"/>
      <c r="Z63" s="141"/>
      <c r="AA63" s="142"/>
      <c r="AB63" s="142"/>
      <c r="AC63" s="142"/>
      <c r="AD63" s="142"/>
      <c r="AE63" s="142"/>
      <c r="AF63" s="142"/>
      <c r="AG63" s="142"/>
      <c r="AH63" s="139"/>
      <c r="AI63" s="139"/>
      <c r="AJ63" s="139"/>
      <c r="AK63" s="139"/>
      <c r="AL63" s="139"/>
      <c r="AM63" s="139"/>
      <c r="AN63" s="139"/>
      <c r="AO63" s="139"/>
      <c r="AP63" s="139"/>
      <c r="AQ63" s="59"/>
      <c r="AR63" s="143"/>
      <c r="AS63" s="273"/>
      <c r="AT63" s="273"/>
      <c r="AU63" s="273"/>
      <c r="AV63" s="61"/>
      <c r="AW63" s="37"/>
      <c r="AX63" s="44"/>
    </row>
    <row r="64" spans="1:68" s="127" customFormat="1" ht="8.1" customHeight="1">
      <c r="A64" s="14"/>
      <c r="B64" s="1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4"/>
      <c r="AE64" s="144"/>
      <c r="AF64" s="144"/>
      <c r="AG64" s="144"/>
      <c r="AH64" s="144"/>
      <c r="AI64" s="144"/>
      <c r="AJ64" s="144"/>
      <c r="AK64" s="144"/>
      <c r="AL64" s="144"/>
      <c r="AM64" s="144"/>
      <c r="AN64" s="144"/>
      <c r="AO64" s="144"/>
      <c r="AP64" s="144"/>
      <c r="AQ64" s="144"/>
      <c r="AR64" s="144"/>
      <c r="AS64" s="144"/>
      <c r="AT64" s="144"/>
      <c r="AU64" s="144"/>
      <c r="AV64" s="14"/>
      <c r="AW64" s="37"/>
      <c r="AX64" s="37"/>
      <c r="BC64" s="1"/>
      <c r="BD64" s="1"/>
      <c r="BE64" s="1"/>
    </row>
    <row r="65" spans="1:66" s="127" customFormat="1" ht="18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37"/>
      <c r="AX65" s="37"/>
      <c r="BC65" s="1"/>
      <c r="BD65" s="1"/>
      <c r="BE65" s="1"/>
    </row>
    <row r="66" spans="1:66" s="127" customFormat="1" ht="18" customHeight="1">
      <c r="A66" s="44"/>
      <c r="B66" s="14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5"/>
      <c r="AW66" s="37"/>
      <c r="AX66" s="37"/>
      <c r="AY66" s="44"/>
      <c r="AZ66" s="1"/>
      <c r="BA66" s="1"/>
      <c r="BB66" s="1"/>
      <c r="BC66" s="1"/>
      <c r="BD66" s="1"/>
      <c r="BE66" s="1"/>
      <c r="BF66" s="1"/>
      <c r="BG66" s="1"/>
    </row>
    <row r="67" spans="1:66" s="127" customFormat="1" ht="18" customHeight="1">
      <c r="A67" s="144"/>
      <c r="B67" s="144"/>
      <c r="C67" s="14"/>
      <c r="D67" s="14"/>
      <c r="E67" s="14"/>
      <c r="F67" s="14"/>
      <c r="G67" s="44"/>
      <c r="H67" s="146"/>
      <c r="I67" s="44"/>
      <c r="J67" s="257"/>
      <c r="K67" s="257"/>
      <c r="L67" s="257"/>
      <c r="M67" s="113"/>
      <c r="N67" s="44"/>
      <c r="O67" s="44"/>
      <c r="P67" s="44"/>
      <c r="Q67" s="44"/>
      <c r="R67" s="44"/>
      <c r="S67" s="44"/>
      <c r="T67" s="44"/>
      <c r="U67" s="44"/>
      <c r="V67" s="4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4"/>
      <c r="AW67" s="147"/>
      <c r="AX67" s="2"/>
      <c r="AY67" s="14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</row>
    <row r="68" spans="1:66" ht="18" customHeight="1">
      <c r="AY68" s="14"/>
    </row>
    <row r="69" spans="1:66" ht="18" customHeight="1"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14"/>
      <c r="O69" s="14"/>
      <c r="P69" s="14"/>
      <c r="Q69" s="260"/>
      <c r="R69" s="260"/>
      <c r="S69" s="113"/>
      <c r="T69" s="113"/>
      <c r="U69" s="44"/>
      <c r="V69" s="44"/>
      <c r="W69" s="90"/>
      <c r="X69" s="90"/>
      <c r="AY69" s="14"/>
      <c r="BC69" s="127"/>
      <c r="BD69" s="127"/>
      <c r="BE69" s="127"/>
    </row>
    <row r="70" spans="1:66" ht="18" customHeight="1">
      <c r="AX70" s="148"/>
      <c r="BC70" s="149"/>
      <c r="BD70" s="149"/>
      <c r="BE70" s="149"/>
    </row>
    <row r="71" spans="1:66" ht="18" customHeight="1">
      <c r="AZ71" s="127"/>
      <c r="BA71" s="127"/>
      <c r="BB71" s="127"/>
      <c r="BF71" s="127"/>
      <c r="BG71" s="127"/>
    </row>
    <row r="72" spans="1:66" ht="6.95" customHeight="1">
      <c r="AY72" s="127"/>
      <c r="AZ72" s="149"/>
      <c r="BA72" s="149"/>
      <c r="BB72" s="149"/>
      <c r="BF72" s="149"/>
      <c r="BG72" s="149"/>
      <c r="BH72" s="127"/>
      <c r="BI72" s="127"/>
      <c r="BJ72" s="127"/>
      <c r="BK72" s="127"/>
      <c r="BL72" s="127"/>
      <c r="BM72" s="127"/>
      <c r="BN72" s="127"/>
    </row>
    <row r="73" spans="1:66" s="127" customFormat="1" ht="12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4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2"/>
      <c r="AX73" s="2"/>
      <c r="AY73" s="149"/>
      <c r="AZ73" s="1"/>
      <c r="BA73" s="1"/>
      <c r="BB73" s="1"/>
      <c r="BC73" s="1"/>
      <c r="BD73" s="1"/>
      <c r="BE73" s="1"/>
      <c r="BF73" s="1"/>
      <c r="BG73" s="1"/>
      <c r="BH73" s="149"/>
      <c r="BI73" s="149"/>
      <c r="BJ73" s="149"/>
      <c r="BK73" s="149"/>
      <c r="BL73" s="149"/>
      <c r="BM73" s="149"/>
      <c r="BN73" s="149"/>
    </row>
    <row r="74" spans="1:66" s="149" customFormat="1" ht="12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4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2"/>
      <c r="AX74" s="2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</row>
    <row r="75" spans="1:66" ht="12" customHeight="1"/>
    <row r="76" spans="1:66" ht="12" customHeight="1"/>
    <row r="77" spans="1:66" ht="12" customHeight="1"/>
    <row r="78" spans="1:66" ht="12" customHeight="1"/>
    <row r="79" spans="1:66" ht="12" customHeight="1"/>
    <row r="80" spans="1:66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</sheetData>
  <sheetProtection selectLockedCells="1"/>
  <mergeCells count="81">
    <mergeCell ref="Q69:R69"/>
    <mergeCell ref="M52:AK52"/>
    <mergeCell ref="D54:AT56"/>
    <mergeCell ref="I60:L60"/>
    <mergeCell ref="M60:P60"/>
    <mergeCell ref="AH60:AK60"/>
    <mergeCell ref="AQ60:AT60"/>
    <mergeCell ref="I61:L61"/>
    <mergeCell ref="M61:P61"/>
    <mergeCell ref="AH61:AJ61"/>
    <mergeCell ref="AS63:AU63"/>
    <mergeCell ref="J67:L67"/>
    <mergeCell ref="H49:I49"/>
    <mergeCell ref="AI49:AK49"/>
    <mergeCell ref="AM49:AO49"/>
    <mergeCell ref="AI50:AK50"/>
    <mergeCell ref="AM50:AO50"/>
    <mergeCell ref="Q51:R51"/>
    <mergeCell ref="AI51:AK51"/>
    <mergeCell ref="AM51:AO51"/>
    <mergeCell ref="P45:R45"/>
    <mergeCell ref="AD45:AF45"/>
    <mergeCell ref="AH45:AI45"/>
    <mergeCell ref="AR45:AT45"/>
    <mergeCell ref="M46:AK46"/>
    <mergeCell ref="P48:Q48"/>
    <mergeCell ref="AI48:AK48"/>
    <mergeCell ref="AM48:AO48"/>
    <mergeCell ref="AR42:AT42"/>
    <mergeCell ref="AI43:AK43"/>
    <mergeCell ref="AM43:AO43"/>
    <mergeCell ref="AR43:AT43"/>
    <mergeCell ref="P44:R44"/>
    <mergeCell ref="AI44:AK44"/>
    <mergeCell ref="AM44:AO44"/>
    <mergeCell ref="AR44:AT44"/>
    <mergeCell ref="AM42:AO42"/>
    <mergeCell ref="T38:U38"/>
    <mergeCell ref="V39:X39"/>
    <mergeCell ref="N42:O42"/>
    <mergeCell ref="Z42:AA42"/>
    <mergeCell ref="AI42:AK42"/>
    <mergeCell ref="T37:U37"/>
    <mergeCell ref="AM23:AO23"/>
    <mergeCell ref="AP23:AR23"/>
    <mergeCell ref="D24:X27"/>
    <mergeCell ref="AM24:AO24"/>
    <mergeCell ref="AA25:AB25"/>
    <mergeCell ref="AM25:AN25"/>
    <mergeCell ref="M32:N32"/>
    <mergeCell ref="T33:U33"/>
    <mergeCell ref="T34:U34"/>
    <mergeCell ref="T35:U35"/>
    <mergeCell ref="T36:U36"/>
    <mergeCell ref="J20:R20"/>
    <mergeCell ref="AM20:AN20"/>
    <mergeCell ref="AP20:AR20"/>
    <mergeCell ref="AM21:AN21"/>
    <mergeCell ref="M22:N22"/>
    <mergeCell ref="AM22:AO22"/>
    <mergeCell ref="AP22:AR22"/>
    <mergeCell ref="AM19:AN19"/>
    <mergeCell ref="N9:AK9"/>
    <mergeCell ref="BW9:BX9"/>
    <mergeCell ref="BY9:BZ9"/>
    <mergeCell ref="K12:U12"/>
    <mergeCell ref="AL12:AR12"/>
    <mergeCell ref="K13:U13"/>
    <mergeCell ref="AA13:AR13"/>
    <mergeCell ref="K14:U14"/>
    <mergeCell ref="AA14:AR14"/>
    <mergeCell ref="K15:U15"/>
    <mergeCell ref="AQ15:AR15"/>
    <mergeCell ref="AM18:AO18"/>
    <mergeCell ref="AP3:AU3"/>
    <mergeCell ref="H4:AO4"/>
    <mergeCell ref="AP4:AU4"/>
    <mergeCell ref="H5:AO6"/>
    <mergeCell ref="AP5:AR5"/>
    <mergeCell ref="AS5:AU5"/>
    <mergeCell ref="AP6:AV6"/>
  </mergeCells>
  <conditionalFormatting sqref="AD45:AF45">
    <cfRule type="cellIs" dxfId="0" priority="1" stopIfTrue="1" operator="equal">
      <formula>""</formula>
    </cfRule>
  </conditionalFormatting>
  <printOptions horizontalCentered="1"/>
  <pageMargins left="0" right="0" top="0.78740157480314965" bottom="0" header="0" footer="0"/>
  <pageSetup paperSize="9" scale="76" orientation="portrait" horizontalDpi="400" verticalDpi="400" r:id="rId1"/>
  <headerFooter alignWithMargins="0"/>
  <rowBreaks count="1" manualBreakCount="1">
    <brk id="63" min="1" max="4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11</xdr:col>
                    <xdr:colOff>180975</xdr:colOff>
                    <xdr:row>20</xdr:row>
                    <xdr:rowOff>19050</xdr:rowOff>
                  </from>
                  <to>
                    <xdr:col>14</xdr:col>
                    <xdr:colOff>171450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26</xdr:col>
                    <xdr:colOff>0</xdr:colOff>
                    <xdr:row>14</xdr:row>
                    <xdr:rowOff>9525</xdr:rowOff>
                  </from>
                  <to>
                    <xdr:col>33</xdr:col>
                    <xdr:colOff>9525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9</xdr:col>
                    <xdr:colOff>9525</xdr:colOff>
                    <xdr:row>18</xdr:row>
                    <xdr:rowOff>9525</xdr:rowOff>
                  </from>
                  <to>
                    <xdr:col>18</xdr:col>
                    <xdr:colOff>28575</xdr:colOff>
                    <xdr:row>18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Procedimento normale</vt:lpstr>
      <vt:lpstr>'Procedimento normale'!Area_stampa</vt:lpstr>
    </vt:vector>
  </TitlesOfParts>
  <Company>Ville de Lausanne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eaux0061</dc:creator>
  <cp:lastModifiedBy>Mariangela</cp:lastModifiedBy>
  <cp:lastPrinted>2012-05-21T08:06:41Z</cp:lastPrinted>
  <dcterms:created xsi:type="dcterms:W3CDTF">2012-03-27T15:16:15Z</dcterms:created>
  <dcterms:modified xsi:type="dcterms:W3CDTF">2019-10-07T08:55:58Z</dcterms:modified>
</cp:coreProperties>
</file>